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https://landschappen365-my.sharepoint.com/personal/r_vangerwen_natuurlijkezaken_nl/Documents/Innovatie Programma Veen/IPV Team/Project 4 Markt/8 Rapportage/Jaarrapportage - mei 2021/"/>
    </mc:Choice>
  </mc:AlternateContent>
  <xr:revisionPtr revIDLastSave="12" documentId="8_{FAE2B25F-BC58-8B4C-BD5D-4872924DA197}" xr6:coauthVersionLast="47" xr6:coauthVersionMax="47" xr10:uidLastSave="{BC3506F4-EAA7-F546-9A0F-A8793915451D}"/>
  <bookViews>
    <workbookView xWindow="0" yWindow="500" windowWidth="28800" windowHeight="17500" xr2:uid="{DFE20896-5CA9-664B-BB43-842472BF4D55}"/>
  </bookViews>
  <sheets>
    <sheet name="VOORBLAD - Methode &amp; Conclusies" sheetId="13" r:id="rId1"/>
    <sheet name="SAMENVATTING" sheetId="20" r:id="rId2"/>
    <sheet name="SCENARIO 1 - Gemiddeld" sheetId="16" r:id="rId3"/>
    <sheet name="SCENARIO 2 - Beste geval" sheetId="17" r:id="rId4"/>
    <sheet name="SCENARIO 3 - Slechtste geval" sheetId="18" r:id="rId5"/>
    <sheet name="SCENARIO 4 - Vrij invulbaar" sheetId="19" r:id="rId6"/>
    <sheet name="MARKTOMVANG" sheetId="14" r:id="rId7"/>
    <sheet name="DATA - Variabelen &amp; waarden" sheetId="1"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2" i="20" l="1"/>
  <c r="B132" i="20"/>
  <c r="B130" i="20"/>
  <c r="H48" i="19" l="1" a="1"/>
  <c r="H48" i="19" s="1"/>
  <c r="K48" i="19" s="1" a="1"/>
  <c r="K48" i="19" s="1"/>
  <c r="K89" i="18" a="1"/>
  <c r="K89" i="18" s="1"/>
  <c r="H74" i="18" a="1"/>
  <c r="H74" i="18" s="1"/>
  <c r="K74" i="18" s="1" a="1"/>
  <c r="K74" i="18" s="1"/>
  <c r="K82" i="17" a="1"/>
  <c r="K82" i="17" s="1"/>
  <c r="K76" i="17" a="1"/>
  <c r="K76" i="17" s="1"/>
  <c r="H75" i="17" a="1"/>
  <c r="H75" i="17" s="1"/>
  <c r="K75" i="17" s="1" a="1"/>
  <c r="K75" i="17" s="1"/>
  <c r="K74" i="16" a="1"/>
  <c r="K74" i="16" s="1"/>
  <c r="B142" i="1"/>
  <c r="B7" i="14"/>
  <c r="F29" i="14"/>
  <c r="I29" i="14" s="1"/>
  <c r="F28" i="14"/>
  <c r="I28" i="14" s="1"/>
  <c r="F25" i="14"/>
  <c r="I25" i="14" s="1"/>
  <c r="K25" i="14" s="1"/>
  <c r="F23" i="14"/>
  <c r="I23" i="14" s="1"/>
  <c r="K23" i="14" s="1"/>
  <c r="F18" i="14"/>
  <c r="I18" i="14" s="1"/>
  <c r="K18" i="14" s="1"/>
  <c r="F16" i="14"/>
  <c r="I16" i="14" s="1"/>
  <c r="K16" i="14" s="1"/>
  <c r="D22" i="14"/>
  <c r="F22" i="14" s="1"/>
  <c r="I22" i="14" s="1"/>
  <c r="K22" i="14" s="1"/>
  <c r="D21" i="14"/>
  <c r="Z4" i="20"/>
  <c r="Z6" i="20"/>
  <c r="AA6" i="20"/>
  <c r="AB6" i="20"/>
  <c r="AF6" i="20"/>
  <c r="AJ6" i="20"/>
  <c r="AN6" i="20"/>
  <c r="Z9" i="20"/>
  <c r="AA9" i="20"/>
  <c r="Z10" i="20"/>
  <c r="AA10" i="20"/>
  <c r="Z12" i="20"/>
  <c r="Z14" i="20"/>
  <c r="AA14" i="20"/>
  <c r="Z15" i="20"/>
  <c r="Z17" i="20"/>
  <c r="AA17" i="20"/>
  <c r="Z18" i="20"/>
  <c r="Z20" i="20"/>
  <c r="AA20" i="20"/>
  <c r="Z21" i="20"/>
  <c r="Z23" i="20"/>
  <c r="AA23" i="20"/>
  <c r="Z24" i="20"/>
  <c r="Z26" i="20"/>
  <c r="AA26" i="20"/>
  <c r="P4" i="20"/>
  <c r="P6" i="20"/>
  <c r="Q6" i="20"/>
  <c r="R6" i="20"/>
  <c r="V6" i="20"/>
  <c r="P12" i="20"/>
  <c r="P29" i="20"/>
  <c r="P30" i="20"/>
  <c r="P31" i="20"/>
  <c r="B4" i="20"/>
  <c r="B6" i="20"/>
  <c r="C6" i="20"/>
  <c r="D6" i="20"/>
  <c r="H6" i="20"/>
  <c r="L6" i="20"/>
  <c r="B9" i="20"/>
  <c r="C9" i="20"/>
  <c r="B10" i="20"/>
  <c r="C10" i="20"/>
  <c r="B12" i="20"/>
  <c r="C12" i="20"/>
  <c r="B14" i="20"/>
  <c r="C14" i="20"/>
  <c r="C15" i="20"/>
  <c r="C16" i="20"/>
  <c r="C17" i="20"/>
  <c r="C18" i="20"/>
  <c r="C19" i="20"/>
  <c r="C21" i="20"/>
  <c r="C22" i="20"/>
  <c r="C23" i="20"/>
  <c r="C24" i="20"/>
  <c r="C25" i="20"/>
  <c r="C26" i="20"/>
  <c r="C28" i="20"/>
  <c r="C30" i="20"/>
  <c r="C31" i="20"/>
  <c r="C32" i="20"/>
  <c r="C33" i="20"/>
  <c r="C34" i="20"/>
  <c r="B37" i="20"/>
  <c r="C37" i="20"/>
  <c r="B39" i="20"/>
  <c r="C39" i="20"/>
  <c r="C40" i="20"/>
  <c r="C41" i="20"/>
  <c r="C42" i="20"/>
  <c r="C43" i="20"/>
  <c r="C44" i="20"/>
  <c r="C45" i="20"/>
  <c r="B47" i="20"/>
  <c r="C47" i="20"/>
  <c r="B48" i="20"/>
  <c r="C48" i="20"/>
  <c r="B49" i="20"/>
  <c r="C49" i="20"/>
  <c r="C50" i="20"/>
  <c r="B53" i="20"/>
  <c r="C53" i="20"/>
  <c r="B56" i="20"/>
  <c r="C56" i="20"/>
  <c r="B57" i="20"/>
  <c r="B59" i="20"/>
  <c r="C59" i="20"/>
  <c r="B60" i="20"/>
  <c r="B62" i="20"/>
  <c r="C62" i="20"/>
  <c r="B63" i="20"/>
  <c r="B65" i="20"/>
  <c r="C65" i="20"/>
  <c r="B66" i="20"/>
  <c r="B69" i="20"/>
  <c r="B71" i="20"/>
  <c r="B72" i="20"/>
  <c r="B74" i="20"/>
  <c r="C74" i="20"/>
  <c r="B76" i="20"/>
  <c r="C76" i="20"/>
  <c r="B78" i="20"/>
  <c r="B79" i="20"/>
  <c r="B81" i="20"/>
  <c r="C81" i="20"/>
  <c r="B83" i="20"/>
  <c r="C83" i="20"/>
  <c r="B85" i="20"/>
  <c r="C85" i="20"/>
  <c r="B87" i="20"/>
  <c r="C87" i="20"/>
  <c r="B89" i="20"/>
  <c r="C89" i="20"/>
  <c r="B91" i="20"/>
  <c r="B92" i="20"/>
  <c r="B94" i="20"/>
  <c r="C94" i="20"/>
  <c r="B96" i="20"/>
  <c r="C96" i="20"/>
  <c r="B98" i="20"/>
  <c r="C98" i="20"/>
  <c r="B100" i="20"/>
  <c r="C100" i="20"/>
  <c r="B102" i="20"/>
  <c r="C102" i="20"/>
  <c r="B104" i="20"/>
  <c r="B105" i="20"/>
  <c r="B107" i="20"/>
  <c r="C107" i="20"/>
  <c r="B109" i="20"/>
  <c r="C109" i="20"/>
  <c r="B111" i="20"/>
  <c r="C111" i="20"/>
  <c r="B113" i="20"/>
  <c r="C113" i="20"/>
  <c r="B115" i="20"/>
  <c r="C115" i="20"/>
  <c r="B117" i="20"/>
  <c r="B118" i="20"/>
  <c r="B120" i="20"/>
  <c r="C120" i="20"/>
  <c r="B122" i="20"/>
  <c r="C122" i="20"/>
  <c r="B124" i="20"/>
  <c r="C124" i="20"/>
  <c r="B126" i="20"/>
  <c r="C126" i="20"/>
  <c r="B128" i="20"/>
  <c r="C128" i="20"/>
  <c r="B276" i="19"/>
  <c r="B256" i="19"/>
  <c r="B254" i="19"/>
  <c r="B251" i="19"/>
  <c r="H250" i="19"/>
  <c r="H251" i="19" s="1"/>
  <c r="B250" i="19"/>
  <c r="B249" i="19"/>
  <c r="B248" i="19"/>
  <c r="H247" i="19"/>
  <c r="K248" i="19" s="1"/>
  <c r="B247" i="19"/>
  <c r="B246" i="19"/>
  <c r="I244" i="19"/>
  <c r="H244" i="19"/>
  <c r="I245" i="19" s="1"/>
  <c r="H241" i="19"/>
  <c r="H238" i="19"/>
  <c r="H239" i="19" s="1"/>
  <c r="N222" i="19" a="1"/>
  <c r="N222" i="19" s="1"/>
  <c r="E222" i="19" a="1"/>
  <c r="E222" i="19" s="1"/>
  <c r="Q217" i="19" a="1"/>
  <c r="Q217" i="19" s="1"/>
  <c r="E217" i="19" a="1"/>
  <c r="E217" i="19" s="1"/>
  <c r="Q216" i="19" a="1"/>
  <c r="Q216" i="19" s="1"/>
  <c r="K216" i="19" a="1"/>
  <c r="K216" i="19" s="1"/>
  <c r="H216" i="19"/>
  <c r="B260" i="19" s="1"/>
  <c r="E216" i="19" a="1"/>
  <c r="E216" i="19" s="1"/>
  <c r="K215" i="19" a="1"/>
  <c r="K215" i="19" s="1"/>
  <c r="H215" i="19"/>
  <c r="B259" i="19" s="1"/>
  <c r="E215" i="19" a="1"/>
  <c r="E215" i="19" s="1"/>
  <c r="Q214" i="19" a="1"/>
  <c r="Q214" i="19" s="1"/>
  <c r="K214" i="19" a="1"/>
  <c r="K214" i="19" s="1"/>
  <c r="H214" i="19"/>
  <c r="B258" i="19" s="1"/>
  <c r="E214" i="19" a="1"/>
  <c r="E214" i="19" s="1"/>
  <c r="K213" i="19" a="1"/>
  <c r="K213" i="19" s="1"/>
  <c r="H213" i="19"/>
  <c r="B257" i="19" s="1"/>
  <c r="E213" i="19" a="1"/>
  <c r="E213" i="19" s="1"/>
  <c r="AI205" i="19" a="1"/>
  <c r="AI205" i="19" s="1"/>
  <c r="AC205" i="19" a="1"/>
  <c r="AC205" i="19" s="1"/>
  <c r="W205" i="19" a="1"/>
  <c r="W205" i="19" s="1"/>
  <c r="Q205" i="19" a="1"/>
  <c r="Q205" i="19" s="1"/>
  <c r="K205" i="19" a="1"/>
  <c r="K205" i="19" s="1"/>
  <c r="AI204" i="19"/>
  <c r="AC204" i="19"/>
  <c r="W204" i="19"/>
  <c r="Q204" i="19"/>
  <c r="K204" i="19"/>
  <c r="W199" i="19"/>
  <c r="Q199" i="19"/>
  <c r="K199" i="19"/>
  <c r="W198" i="19"/>
  <c r="Q198" i="19"/>
  <c r="K198" i="19"/>
  <c r="AI195" i="19" a="1"/>
  <c r="AI195" i="19" s="1"/>
  <c r="AC195" i="19" a="1"/>
  <c r="AC195" i="19" s="1"/>
  <c r="W195" i="19" a="1"/>
  <c r="W195" i="19" s="1"/>
  <c r="Q195" i="19" a="1"/>
  <c r="Q195" i="19" s="1"/>
  <c r="K195" i="19" a="1"/>
  <c r="K195" i="19" s="1"/>
  <c r="W193" i="19"/>
  <c r="Q193" i="19"/>
  <c r="K193" i="19"/>
  <c r="AI192" i="19" a="1"/>
  <c r="AI192" i="19" s="1"/>
  <c r="AC192" i="19" a="1"/>
  <c r="AC192" i="19" s="1"/>
  <c r="W192" i="19" a="1"/>
  <c r="W192" i="19" s="1"/>
  <c r="Q192" i="19" a="1"/>
  <c r="Q192" i="19" s="1"/>
  <c r="K192" i="19" a="1"/>
  <c r="K192" i="19" s="1"/>
  <c r="AI191" i="19"/>
  <c r="AC191" i="19"/>
  <c r="W191" i="19"/>
  <c r="Q191" i="19"/>
  <c r="K191" i="19"/>
  <c r="AI182" i="19" a="1"/>
  <c r="AI182" i="19" s="1"/>
  <c r="AC182" i="19" a="1"/>
  <c r="AC182" i="19" s="1"/>
  <c r="W182" i="19" a="1"/>
  <c r="W182" i="19" s="1"/>
  <c r="Q182" i="19" a="1"/>
  <c r="Q182" i="19" s="1"/>
  <c r="K182" i="19" a="1"/>
  <c r="K182" i="19" s="1"/>
  <c r="AI179" i="19" a="1"/>
  <c r="AI179" i="19" s="1"/>
  <c r="AC179" i="19" a="1"/>
  <c r="AC179" i="19" s="1"/>
  <c r="W179" i="19" a="1"/>
  <c r="W179" i="19" s="1"/>
  <c r="Q179" i="19" a="1"/>
  <c r="Q179" i="19" s="1"/>
  <c r="K179" i="19" a="1"/>
  <c r="K179" i="19" s="1"/>
  <c r="AI178" i="19"/>
  <c r="AC178" i="19"/>
  <c r="W178" i="19"/>
  <c r="Q178" i="19"/>
  <c r="K178" i="19"/>
  <c r="AI171" i="19"/>
  <c r="AI145" i="19" s="1"/>
  <c r="W171" i="19"/>
  <c r="W145" i="19" s="1"/>
  <c r="K171" i="19"/>
  <c r="K145" i="19" s="1"/>
  <c r="AI169" i="19" a="1"/>
  <c r="AI169" i="19" s="1"/>
  <c r="AC169" i="19" a="1"/>
  <c r="AC169" i="19" s="1"/>
  <c r="W169" i="19" a="1"/>
  <c r="W169" i="19" s="1"/>
  <c r="Q169" i="19" a="1"/>
  <c r="Q169" i="19" s="1"/>
  <c r="K169" i="19" a="1"/>
  <c r="K169" i="19" s="1"/>
  <c r="AI166" i="19" a="1"/>
  <c r="AI166" i="19" s="1"/>
  <c r="AC166" i="19" a="1"/>
  <c r="AC166" i="19" s="1"/>
  <c r="W166" i="19" a="1"/>
  <c r="W166" i="19" s="1"/>
  <c r="Q166" i="19" a="1"/>
  <c r="Q166" i="19" s="1"/>
  <c r="K166" i="19" a="1"/>
  <c r="K166" i="19" s="1"/>
  <c r="AI165" i="19"/>
  <c r="AC165" i="19"/>
  <c r="W165" i="19"/>
  <c r="Q165" i="19"/>
  <c r="K165" i="19"/>
  <c r="AI157" i="19" a="1"/>
  <c r="AI157" i="19" s="1"/>
  <c r="AC157" i="19" a="1"/>
  <c r="AC157" i="19" s="1"/>
  <c r="W157" i="19" a="1"/>
  <c r="W157" i="19" s="1"/>
  <c r="Q157" i="19" a="1"/>
  <c r="Q157" i="19" s="1"/>
  <c r="K157" i="19" a="1"/>
  <c r="K157" i="19" s="1"/>
  <c r="AF155" i="19"/>
  <c r="Z155" i="19"/>
  <c r="T155" i="19"/>
  <c r="N155" i="19"/>
  <c r="H155" i="19"/>
  <c r="AI154" i="19"/>
  <c r="AC154" i="19"/>
  <c r="W154" i="19"/>
  <c r="Q154" i="19"/>
  <c r="D144" i="19" s="1"/>
  <c r="K154" i="19"/>
  <c r="AF148" i="19"/>
  <c r="Z148" i="19"/>
  <c r="T148" i="19"/>
  <c r="N148" i="19"/>
  <c r="H148" i="19"/>
  <c r="AF147" i="19"/>
  <c r="Z147" i="19"/>
  <c r="T147" i="19"/>
  <c r="N147" i="19"/>
  <c r="H147" i="19"/>
  <c r="B147" i="19"/>
  <c r="B243" i="19" s="1"/>
  <c r="AF146" i="19"/>
  <c r="Z146" i="19"/>
  <c r="T146" i="19"/>
  <c r="N146" i="19"/>
  <c r="H146" i="19"/>
  <c r="D146" i="19"/>
  <c r="B146" i="19"/>
  <c r="B242" i="19" s="1"/>
  <c r="AF145" i="19"/>
  <c r="Z145" i="19"/>
  <c r="T145" i="19"/>
  <c r="N145" i="19"/>
  <c r="H145" i="19"/>
  <c r="B145" i="19"/>
  <c r="B241" i="19" s="1"/>
  <c r="B144" i="19"/>
  <c r="B240" i="19" s="1"/>
  <c r="B143" i="19"/>
  <c r="B239" i="19" s="1"/>
  <c r="AI141" i="19" a="1"/>
  <c r="AI141" i="19" s="1"/>
  <c r="AG143" i="19" s="1"/>
  <c r="AC141" i="19" a="1"/>
  <c r="AC141" i="19" s="1"/>
  <c r="AA143" i="19" s="1"/>
  <c r="W141" i="19" a="1"/>
  <c r="W141" i="19" s="1"/>
  <c r="U143" i="19" s="1"/>
  <c r="Q141" i="19" a="1"/>
  <c r="Q141" i="19" s="1"/>
  <c r="O143" i="19" s="1"/>
  <c r="K141" i="19" a="1"/>
  <c r="K141" i="19" s="1"/>
  <c r="I143" i="19" s="1"/>
  <c r="AG138" i="19"/>
  <c r="AA138" i="19"/>
  <c r="U138" i="19"/>
  <c r="O138" i="19"/>
  <c r="I138" i="19"/>
  <c r="AG137" i="19"/>
  <c r="AA137" i="19"/>
  <c r="U137" i="19"/>
  <c r="O137" i="19"/>
  <c r="I137" i="19"/>
  <c r="AG136" i="19"/>
  <c r="AA136" i="19"/>
  <c r="U136" i="19"/>
  <c r="O136" i="19"/>
  <c r="I136" i="19"/>
  <c r="AG135" i="19"/>
  <c r="AA135" i="19"/>
  <c r="U135" i="19"/>
  <c r="O135" i="19"/>
  <c r="I135" i="19"/>
  <c r="K127" i="19"/>
  <c r="K126" i="19"/>
  <c r="K125" i="19" a="1"/>
  <c r="K125" i="19" s="1"/>
  <c r="K123" i="19" a="1"/>
  <c r="K123" i="19" s="1"/>
  <c r="H122" i="19"/>
  <c r="H120" i="19"/>
  <c r="H116" i="19"/>
  <c r="K106" i="19" a="1"/>
  <c r="K106" i="19" s="1"/>
  <c r="H105" i="19"/>
  <c r="B89" i="19" s="1"/>
  <c r="Q104" i="19" a="1"/>
  <c r="Q104" i="19" s="1"/>
  <c r="K104" i="19" a="1"/>
  <c r="K104" i="19" s="1"/>
  <c r="H103" i="19"/>
  <c r="Q100" i="19" a="1"/>
  <c r="Q100" i="19" s="1"/>
  <c r="Q99" i="19"/>
  <c r="H99" i="19"/>
  <c r="Q96" i="19" a="1"/>
  <c r="Q96" i="19" s="1"/>
  <c r="K96" i="19" a="1"/>
  <c r="K96" i="19" s="1"/>
  <c r="Q95" i="19"/>
  <c r="Q92" i="19" a="1"/>
  <c r="Q92" i="19" s="1"/>
  <c r="B91" i="19"/>
  <c r="B90" i="19"/>
  <c r="N89" i="19"/>
  <c r="Q89" i="19" s="1" a="1"/>
  <c r="Q89" i="19" s="1"/>
  <c r="B88" i="19"/>
  <c r="N87" i="19"/>
  <c r="Q87" i="19" s="1" a="1"/>
  <c r="Q87" i="19" s="1"/>
  <c r="H85" i="19" a="1"/>
  <c r="K89" i="19" s="1" a="1"/>
  <c r="K89" i="19" s="1"/>
  <c r="N68" i="19" a="1"/>
  <c r="Q69" i="19" s="1" a="1"/>
  <c r="Q69" i="19" s="1"/>
  <c r="H67" i="19" a="1"/>
  <c r="N55" i="19" a="1"/>
  <c r="Q56" i="19" s="1" a="1"/>
  <c r="Q56" i="19" s="1"/>
  <c r="N50" i="19" a="1"/>
  <c r="Q53" i="19" s="1" a="1"/>
  <c r="Q53" i="19" s="1"/>
  <c r="H42" i="19"/>
  <c r="K42" i="19" s="1" a="1"/>
  <c r="K42" i="19" s="1"/>
  <c r="H41" i="19"/>
  <c r="K41" i="19" s="1" a="1"/>
  <c r="K41" i="19" s="1"/>
  <c r="H40" i="19"/>
  <c r="K40" i="19" s="1" a="1"/>
  <c r="K40" i="19" s="1"/>
  <c r="H39" i="19"/>
  <c r="K39" i="19" s="1" a="1"/>
  <c r="K39" i="19" s="1"/>
  <c r="H36" i="19"/>
  <c r="H35" i="19"/>
  <c r="B33" i="19"/>
  <c r="B266" i="19" s="1"/>
  <c r="N32" i="19" a="1"/>
  <c r="Q46" i="19" s="1" a="1"/>
  <c r="Q46" i="19" s="1"/>
  <c r="I21" i="19" a="1"/>
  <c r="I21" i="19" s="1"/>
  <c r="K21" i="19" s="1"/>
  <c r="E15" i="19"/>
  <c r="I14" i="19" a="1"/>
  <c r="I14" i="19" s="1"/>
  <c r="K14" i="19" s="1"/>
  <c r="C14" i="19"/>
  <c r="E14" i="19" s="1"/>
  <c r="B302" i="18"/>
  <c r="B282" i="18"/>
  <c r="B280" i="18"/>
  <c r="B277" i="18"/>
  <c r="H276" i="18"/>
  <c r="H277" i="18" s="1"/>
  <c r="B276" i="18"/>
  <c r="B275" i="18"/>
  <c r="B274" i="18"/>
  <c r="H273" i="18"/>
  <c r="I274" i="18" s="1"/>
  <c r="B273" i="18"/>
  <c r="B272" i="18"/>
  <c r="H270" i="18"/>
  <c r="I271" i="18" s="1"/>
  <c r="H267" i="18"/>
  <c r="I268" i="18" s="1"/>
  <c r="H264" i="18"/>
  <c r="H265" i="18" s="1"/>
  <c r="N248" i="18" a="1"/>
  <c r="N248" i="18" s="1"/>
  <c r="E248" i="18" a="1"/>
  <c r="E248" i="18" s="1"/>
  <c r="Q243" i="18" a="1"/>
  <c r="Q243" i="18" s="1"/>
  <c r="E243" i="18" a="1"/>
  <c r="E243" i="18" s="1"/>
  <c r="Q242" i="18" a="1"/>
  <c r="Q242" i="18" s="1"/>
  <c r="K242" i="18" a="1"/>
  <c r="K242" i="18" s="1"/>
  <c r="H242" i="18"/>
  <c r="B286" i="18" s="1"/>
  <c r="E242" i="18" a="1"/>
  <c r="E242" i="18" s="1"/>
  <c r="K241" i="18" a="1"/>
  <c r="K241" i="18" s="1"/>
  <c r="H241" i="18"/>
  <c r="B285" i="18" s="1"/>
  <c r="E241" i="18" a="1"/>
  <c r="E241" i="18" s="1"/>
  <c r="Q240" i="18" a="1"/>
  <c r="Q240" i="18" s="1"/>
  <c r="K240" i="18" a="1"/>
  <c r="K240" i="18" s="1"/>
  <c r="H240" i="18"/>
  <c r="B284" i="18" s="1"/>
  <c r="E240" i="18" a="1"/>
  <c r="E240" i="18" s="1"/>
  <c r="K239" i="18" a="1"/>
  <c r="K239" i="18" s="1"/>
  <c r="H239" i="18"/>
  <c r="B283" i="18" s="1"/>
  <c r="E239" i="18" a="1"/>
  <c r="E239" i="18" s="1"/>
  <c r="AI231" i="18" a="1"/>
  <c r="AI231" i="18" s="1"/>
  <c r="AC231" i="18" a="1"/>
  <c r="AC231" i="18" s="1"/>
  <c r="W231" i="18" a="1"/>
  <c r="W231" i="18" s="1"/>
  <c r="Q231" i="18" a="1"/>
  <c r="Q231" i="18" s="1"/>
  <c r="K231" i="18" a="1"/>
  <c r="K231" i="18" s="1"/>
  <c r="AI230" i="18"/>
  <c r="AC230" i="18"/>
  <c r="W230" i="18"/>
  <c r="Q230" i="18"/>
  <c r="K230" i="18"/>
  <c r="W225" i="18"/>
  <c r="Q225" i="18"/>
  <c r="K225" i="18"/>
  <c r="W224" i="18"/>
  <c r="Q224" i="18"/>
  <c r="K224" i="18"/>
  <c r="AI221" i="18" a="1"/>
  <c r="AI221" i="18" s="1"/>
  <c r="AC221" i="18" a="1"/>
  <c r="AC221" i="18" s="1"/>
  <c r="W221" i="18" a="1"/>
  <c r="W221" i="18" s="1"/>
  <c r="Q221" i="18" a="1"/>
  <c r="Q221" i="18" s="1"/>
  <c r="K221" i="18" a="1"/>
  <c r="K221" i="18" s="1"/>
  <c r="W219" i="18"/>
  <c r="Q219" i="18"/>
  <c r="K219" i="18"/>
  <c r="AI218" i="18" a="1"/>
  <c r="AI218" i="18" s="1"/>
  <c r="AC218" i="18" a="1"/>
  <c r="AC218" i="18" s="1"/>
  <c r="W218" i="18" a="1"/>
  <c r="W218" i="18" s="1"/>
  <c r="Q218" i="18" a="1"/>
  <c r="Q218" i="18" s="1"/>
  <c r="K218" i="18" a="1"/>
  <c r="K218" i="18" s="1"/>
  <c r="AI217" i="18"/>
  <c r="AC217" i="18"/>
  <c r="W217" i="18"/>
  <c r="Q217" i="18"/>
  <c r="K217" i="18"/>
  <c r="AI208" i="18" a="1"/>
  <c r="AI208" i="18" s="1"/>
  <c r="AC208" i="18" a="1"/>
  <c r="AC208" i="18" s="1"/>
  <c r="W208" i="18" a="1"/>
  <c r="W208" i="18" s="1"/>
  <c r="Q208" i="18" a="1"/>
  <c r="Q208" i="18" s="1"/>
  <c r="K208" i="18" a="1"/>
  <c r="K208" i="18" s="1"/>
  <c r="AI205" i="18" a="1"/>
  <c r="AI205" i="18" s="1"/>
  <c r="AC205" i="18" a="1"/>
  <c r="AC205" i="18" s="1"/>
  <c r="W205" i="18" a="1"/>
  <c r="W205" i="18" s="1"/>
  <c r="Q205" i="18" a="1"/>
  <c r="Q205" i="18" s="1"/>
  <c r="K205" i="18" a="1"/>
  <c r="K205" i="18" s="1"/>
  <c r="AI204" i="18"/>
  <c r="AC204" i="18"/>
  <c r="W204" i="18"/>
  <c r="Q204" i="18"/>
  <c r="K204" i="18"/>
  <c r="AI197" i="18"/>
  <c r="AI171" i="18" s="1"/>
  <c r="W197" i="18"/>
  <c r="K197" i="18"/>
  <c r="K171" i="18" s="1"/>
  <c r="AI195" i="18" a="1"/>
  <c r="AI195" i="18" s="1"/>
  <c r="AC195" i="18" a="1"/>
  <c r="AC195" i="18" s="1"/>
  <c r="W195" i="18" a="1"/>
  <c r="W195" i="18" s="1"/>
  <c r="Q195" i="18" a="1"/>
  <c r="Q195" i="18" s="1"/>
  <c r="K195" i="18" a="1"/>
  <c r="K195" i="18" s="1"/>
  <c r="AI192" i="18" a="1"/>
  <c r="AI192" i="18" s="1"/>
  <c r="AC192" i="18" a="1"/>
  <c r="AC192" i="18" s="1"/>
  <c r="W192" i="18" a="1"/>
  <c r="W192" i="18" s="1"/>
  <c r="Q192" i="18" a="1"/>
  <c r="Q192" i="18" s="1"/>
  <c r="K192" i="18" a="1"/>
  <c r="K192" i="18" s="1"/>
  <c r="AI191" i="18"/>
  <c r="AC191" i="18"/>
  <c r="W191" i="18"/>
  <c r="Q191" i="18"/>
  <c r="K191" i="18"/>
  <c r="AI183" i="18" a="1"/>
  <c r="AI183" i="18" s="1"/>
  <c r="AC183" i="18" a="1"/>
  <c r="AC183" i="18" s="1"/>
  <c r="W183" i="18" a="1"/>
  <c r="W183" i="18" s="1"/>
  <c r="Q183" i="18" a="1"/>
  <c r="Q183" i="18" s="1"/>
  <c r="K183" i="18" a="1"/>
  <c r="K183" i="18" s="1"/>
  <c r="AF181" i="18"/>
  <c r="Z181" i="18"/>
  <c r="T181" i="18"/>
  <c r="N181" i="18"/>
  <c r="H181" i="18"/>
  <c r="AI180" i="18"/>
  <c r="D173" i="18" s="1"/>
  <c r="AC180" i="18"/>
  <c r="D172" i="18" s="1"/>
  <c r="W180" i="18"/>
  <c r="D171" i="18" s="1"/>
  <c r="Q180" i="18"/>
  <c r="D170" i="18" s="1"/>
  <c r="K180" i="18"/>
  <c r="D169" i="18" s="1"/>
  <c r="AF174" i="18"/>
  <c r="Z174" i="18"/>
  <c r="T174" i="18"/>
  <c r="N174" i="18"/>
  <c r="H174" i="18"/>
  <c r="AF173" i="18"/>
  <c r="Z173" i="18"/>
  <c r="T173" i="18"/>
  <c r="N173" i="18"/>
  <c r="H173" i="18"/>
  <c r="B173" i="18"/>
  <c r="B269" i="18" s="1"/>
  <c r="AF172" i="18"/>
  <c r="Z172" i="18"/>
  <c r="T172" i="18"/>
  <c r="N172" i="18"/>
  <c r="H172" i="18"/>
  <c r="B172" i="18"/>
  <c r="B268" i="18" s="1"/>
  <c r="AF171" i="18"/>
  <c r="Z171" i="18"/>
  <c r="W171" i="18"/>
  <c r="T171" i="18"/>
  <c r="N171" i="18"/>
  <c r="H171" i="18"/>
  <c r="B171" i="18"/>
  <c r="B267" i="18" s="1"/>
  <c r="B170" i="18"/>
  <c r="B266" i="18" s="1"/>
  <c r="B169" i="18"/>
  <c r="B265" i="18" s="1"/>
  <c r="AI167" i="18" a="1"/>
  <c r="AI167" i="18" s="1"/>
  <c r="AG169" i="18" s="1"/>
  <c r="AC167" i="18" a="1"/>
  <c r="AC167" i="18" s="1"/>
  <c r="AA169" i="18" s="1"/>
  <c r="W167" i="18" a="1"/>
  <c r="W167" i="18" s="1"/>
  <c r="U169" i="18" s="1"/>
  <c r="Q167" i="18" a="1"/>
  <c r="Q167" i="18" s="1"/>
  <c r="O169" i="18" s="1"/>
  <c r="K167" i="18" a="1"/>
  <c r="K167" i="18" s="1"/>
  <c r="I169" i="18" s="1"/>
  <c r="AG164" i="18"/>
  <c r="AA164" i="18"/>
  <c r="U164" i="18"/>
  <c r="O164" i="18"/>
  <c r="I164" i="18"/>
  <c r="AG163" i="18"/>
  <c r="AA163" i="18"/>
  <c r="U163" i="18"/>
  <c r="O163" i="18"/>
  <c r="I163" i="18"/>
  <c r="AG162" i="18"/>
  <c r="AA162" i="18"/>
  <c r="U162" i="18"/>
  <c r="O162" i="18"/>
  <c r="I162" i="18"/>
  <c r="AG161" i="18"/>
  <c r="AA161" i="18"/>
  <c r="U161" i="18"/>
  <c r="O161" i="18"/>
  <c r="I161" i="18"/>
  <c r="K153" i="18"/>
  <c r="K152" i="18"/>
  <c r="K151" i="18" a="1"/>
  <c r="K151" i="18" s="1"/>
  <c r="K149" i="18" a="1"/>
  <c r="K149" i="18" s="1"/>
  <c r="H148" i="18"/>
  <c r="B117" i="18" s="1"/>
  <c r="H146" i="18"/>
  <c r="H142" i="18"/>
  <c r="K132" i="18" a="1"/>
  <c r="K132" i="18" s="1"/>
  <c r="H131" i="18"/>
  <c r="B115" i="18" s="1"/>
  <c r="Q130" i="18" a="1"/>
  <c r="Q130" i="18" s="1"/>
  <c r="K130" i="18" a="1"/>
  <c r="K130" i="18" s="1"/>
  <c r="H129" i="18"/>
  <c r="Q126" i="18" a="1"/>
  <c r="Q126" i="18" s="1"/>
  <c r="Q125" i="18"/>
  <c r="H125" i="18"/>
  <c r="Q122" i="18" a="1"/>
  <c r="Q122" i="18" s="1"/>
  <c r="K122" i="18" a="1"/>
  <c r="K122" i="18" s="1"/>
  <c r="Q121" i="18"/>
  <c r="Q118" i="18" a="1"/>
  <c r="Q118" i="18" s="1"/>
  <c r="B116" i="18"/>
  <c r="N115" i="18"/>
  <c r="Q115" i="18" s="1" a="1"/>
  <c r="Q115" i="18" s="1"/>
  <c r="B114" i="18"/>
  <c r="N113" i="18"/>
  <c r="Q113" i="18" s="1" a="1"/>
  <c r="Q113" i="18" s="1"/>
  <c r="H111" i="18" a="1"/>
  <c r="K114" i="18" s="1" a="1"/>
  <c r="K114" i="18" s="1"/>
  <c r="N94" i="18" a="1"/>
  <c r="Q98" i="18" s="1" a="1"/>
  <c r="Q98" i="18" s="1"/>
  <c r="H93" i="18" a="1"/>
  <c r="N81" i="18" a="1"/>
  <c r="Q83" i="18" s="1" a="1"/>
  <c r="Q83" i="18" s="1"/>
  <c r="N76" i="18" a="1"/>
  <c r="Q79" i="18" s="1" a="1"/>
  <c r="Q79" i="18" s="1"/>
  <c r="H68" i="18"/>
  <c r="K68" i="18" s="1" a="1"/>
  <c r="K68" i="18" s="1"/>
  <c r="H67" i="18"/>
  <c r="K67" i="18" s="1" a="1"/>
  <c r="K67" i="18" s="1"/>
  <c r="H66" i="18"/>
  <c r="K66" i="18" s="1" a="1"/>
  <c r="K66" i="18" s="1"/>
  <c r="H65" i="18"/>
  <c r="K65" i="18" s="1" a="1"/>
  <c r="K65" i="18" s="1"/>
  <c r="H62" i="18"/>
  <c r="H61" i="18"/>
  <c r="B59" i="18"/>
  <c r="B292" i="18" s="1"/>
  <c r="N58" i="18" a="1"/>
  <c r="Q65" i="18" s="1" a="1"/>
  <c r="Q65" i="18" s="1"/>
  <c r="I47" i="18" a="1"/>
  <c r="I47" i="18" s="1"/>
  <c r="K47" i="18" s="1"/>
  <c r="E41" i="18"/>
  <c r="I40" i="18" a="1"/>
  <c r="I40" i="18" s="1"/>
  <c r="K40" i="18" s="1"/>
  <c r="C40" i="18"/>
  <c r="E40" i="18" s="1"/>
  <c r="B303" i="17"/>
  <c r="B283" i="17"/>
  <c r="B281" i="17"/>
  <c r="B278" i="17"/>
  <c r="H277" i="17"/>
  <c r="K278" i="17" s="1"/>
  <c r="V27" i="20" s="1"/>
  <c r="B277" i="17"/>
  <c r="B276" i="17"/>
  <c r="B275" i="17"/>
  <c r="H274" i="17"/>
  <c r="H275" i="17" s="1"/>
  <c r="B274" i="17"/>
  <c r="B273" i="17"/>
  <c r="H271" i="17"/>
  <c r="L271" i="17" s="1"/>
  <c r="H268" i="17"/>
  <c r="H269" i="17" s="1"/>
  <c r="H265" i="17"/>
  <c r="H266" i="17" s="1"/>
  <c r="N249" i="17" a="1"/>
  <c r="N249" i="17" s="1"/>
  <c r="E249" i="17" a="1"/>
  <c r="E249" i="17" s="1"/>
  <c r="Q244" i="17" a="1"/>
  <c r="Q244" i="17" s="1"/>
  <c r="E244" i="17" a="1"/>
  <c r="E244" i="17" s="1"/>
  <c r="Q243" i="17" a="1"/>
  <c r="Q243" i="17" s="1"/>
  <c r="K243" i="17" a="1"/>
  <c r="K243" i="17" s="1"/>
  <c r="H243" i="17"/>
  <c r="B287" i="17" s="1"/>
  <c r="E243" i="17" a="1"/>
  <c r="E243" i="17" s="1"/>
  <c r="K242" i="17" a="1"/>
  <c r="K242" i="17" s="1"/>
  <c r="H242" i="17"/>
  <c r="B286" i="17" s="1"/>
  <c r="E242" i="17" a="1"/>
  <c r="E242" i="17" s="1"/>
  <c r="Q241" i="17" a="1"/>
  <c r="Q241" i="17" s="1"/>
  <c r="K241" i="17" a="1"/>
  <c r="K241" i="17" s="1"/>
  <c r="H241" i="17"/>
  <c r="B285" i="17" s="1"/>
  <c r="E241" i="17" a="1"/>
  <c r="E241" i="17" s="1"/>
  <c r="K240" i="17" a="1"/>
  <c r="K240" i="17" s="1"/>
  <c r="H240" i="17"/>
  <c r="B284" i="17" s="1"/>
  <c r="E240" i="17" a="1"/>
  <c r="E240" i="17" s="1"/>
  <c r="AI232" i="17" a="1"/>
  <c r="AI232" i="17" s="1"/>
  <c r="AC232" i="17" a="1"/>
  <c r="AC232" i="17" s="1"/>
  <c r="W232" i="17" a="1"/>
  <c r="W232" i="17" s="1"/>
  <c r="Q232" i="17" a="1"/>
  <c r="Q232" i="17" s="1"/>
  <c r="K232" i="17" a="1"/>
  <c r="K232" i="17" s="1"/>
  <c r="AI231" i="17"/>
  <c r="AC231" i="17"/>
  <c r="W231" i="17"/>
  <c r="Q231" i="17"/>
  <c r="K231" i="17"/>
  <c r="W226" i="17"/>
  <c r="Q226" i="17"/>
  <c r="K226" i="17"/>
  <c r="W225" i="17"/>
  <c r="Q225" i="17"/>
  <c r="K225" i="17"/>
  <c r="AI222" i="17" a="1"/>
  <c r="AI222" i="17" s="1"/>
  <c r="AC222" i="17" a="1"/>
  <c r="AC222" i="17" s="1"/>
  <c r="W222" i="17" a="1"/>
  <c r="W222" i="17" s="1"/>
  <c r="Q222" i="17" a="1"/>
  <c r="Q222" i="17" s="1"/>
  <c r="K222" i="17" a="1"/>
  <c r="K222" i="17" s="1"/>
  <c r="W220" i="17"/>
  <c r="Q220" i="17"/>
  <c r="K220" i="17"/>
  <c r="AI219" i="17" a="1"/>
  <c r="AI219" i="17" s="1"/>
  <c r="AC219" i="17" a="1"/>
  <c r="AC219" i="17" s="1"/>
  <c r="W219" i="17" a="1"/>
  <c r="W219" i="17" s="1"/>
  <c r="Q219" i="17" a="1"/>
  <c r="Q219" i="17" s="1"/>
  <c r="K219" i="17" a="1"/>
  <c r="K219" i="17" s="1"/>
  <c r="AI218" i="17"/>
  <c r="AC218" i="17"/>
  <c r="W218" i="17"/>
  <c r="Q218" i="17"/>
  <c r="K218" i="17"/>
  <c r="AI209" i="17" a="1"/>
  <c r="AI209" i="17" s="1"/>
  <c r="AC209" i="17" a="1"/>
  <c r="AC209" i="17" s="1"/>
  <c r="W209" i="17" a="1"/>
  <c r="W209" i="17" s="1"/>
  <c r="Q209" i="17" a="1"/>
  <c r="Q209" i="17" s="1"/>
  <c r="K209" i="17" a="1"/>
  <c r="K209" i="17" s="1"/>
  <c r="AI206" i="17" a="1"/>
  <c r="AI206" i="17" s="1"/>
  <c r="AC206" i="17" a="1"/>
  <c r="AC206" i="17" s="1"/>
  <c r="W206" i="17" a="1"/>
  <c r="W206" i="17" s="1"/>
  <c r="Q206" i="17" a="1"/>
  <c r="Q206" i="17" s="1"/>
  <c r="K206" i="17" a="1"/>
  <c r="K206" i="17" s="1"/>
  <c r="AI205" i="17"/>
  <c r="AC205" i="17"/>
  <c r="W205" i="17"/>
  <c r="Q205" i="17"/>
  <c r="K205" i="17"/>
  <c r="AI198" i="17"/>
  <c r="AI172" i="17" s="1"/>
  <c r="W198" i="17"/>
  <c r="W172" i="17" s="1"/>
  <c r="K198" i="17"/>
  <c r="K172" i="17" s="1"/>
  <c r="AI196" i="17" a="1"/>
  <c r="AI196" i="17" s="1"/>
  <c r="AC196" i="17" a="1"/>
  <c r="AC196" i="17" s="1"/>
  <c r="W196" i="17" a="1"/>
  <c r="W196" i="17" s="1"/>
  <c r="Q196" i="17" a="1"/>
  <c r="Q196" i="17" s="1"/>
  <c r="K196" i="17" a="1"/>
  <c r="K196" i="17" s="1"/>
  <c r="AI193" i="17" a="1"/>
  <c r="AI193" i="17" s="1"/>
  <c r="AC193" i="17" a="1"/>
  <c r="AC193" i="17" s="1"/>
  <c r="W193" i="17" a="1"/>
  <c r="W193" i="17" s="1"/>
  <c r="Q193" i="17" a="1"/>
  <c r="Q193" i="17" s="1"/>
  <c r="K193" i="17" a="1"/>
  <c r="K193" i="17" s="1"/>
  <c r="AI192" i="17"/>
  <c r="AC192" i="17"/>
  <c r="W192" i="17"/>
  <c r="Q192" i="17"/>
  <c r="K192" i="17"/>
  <c r="AI184" i="17" a="1"/>
  <c r="AI184" i="17" s="1"/>
  <c r="AC184" i="17" a="1"/>
  <c r="AC184" i="17" s="1"/>
  <c r="W184" i="17" a="1"/>
  <c r="W184" i="17" s="1"/>
  <c r="Q184" i="17" a="1"/>
  <c r="Q184" i="17" s="1"/>
  <c r="K184" i="17" a="1"/>
  <c r="K184" i="17" s="1"/>
  <c r="AF182" i="17"/>
  <c r="Z182" i="17"/>
  <c r="T182" i="17"/>
  <c r="N182" i="17"/>
  <c r="H182" i="17"/>
  <c r="AI181" i="17"/>
  <c r="AC181" i="17"/>
  <c r="D173" i="17" s="1"/>
  <c r="W181" i="17"/>
  <c r="D172" i="17" s="1"/>
  <c r="Q181" i="17"/>
  <c r="D171" i="17" s="1"/>
  <c r="K181" i="17"/>
  <c r="AF175" i="17"/>
  <c r="Z175" i="17"/>
  <c r="T175" i="17"/>
  <c r="N175" i="17"/>
  <c r="H175" i="17"/>
  <c r="AF174" i="17"/>
  <c r="Z174" i="17"/>
  <c r="T174" i="17"/>
  <c r="N174" i="17"/>
  <c r="H174" i="17"/>
  <c r="B174" i="17"/>
  <c r="B270" i="17" s="1"/>
  <c r="AF173" i="17"/>
  <c r="Z173" i="17"/>
  <c r="T173" i="17"/>
  <c r="N173" i="17"/>
  <c r="H173" i="17"/>
  <c r="B173" i="17"/>
  <c r="B269" i="17" s="1"/>
  <c r="AF172" i="17"/>
  <c r="Z172" i="17"/>
  <c r="T172" i="17"/>
  <c r="N172" i="17"/>
  <c r="H172" i="17"/>
  <c r="B172" i="17"/>
  <c r="B268" i="17" s="1"/>
  <c r="B171" i="17"/>
  <c r="B267" i="17" s="1"/>
  <c r="B170" i="17"/>
  <c r="B266" i="17" s="1"/>
  <c r="AI168" i="17" a="1"/>
  <c r="AI168" i="17" s="1"/>
  <c r="AG170" i="17" s="1"/>
  <c r="AC168" i="17" a="1"/>
  <c r="AC168" i="17" s="1"/>
  <c r="AA170" i="17" s="1"/>
  <c r="W168" i="17" a="1"/>
  <c r="W168" i="17" s="1"/>
  <c r="U170" i="17" s="1"/>
  <c r="Q168" i="17" a="1"/>
  <c r="Q168" i="17" s="1"/>
  <c r="O170" i="17" s="1"/>
  <c r="K168" i="17" a="1"/>
  <c r="K168" i="17" s="1"/>
  <c r="I170" i="17" s="1"/>
  <c r="AG165" i="17"/>
  <c r="AA165" i="17"/>
  <c r="U165" i="17"/>
  <c r="O165" i="17"/>
  <c r="I165" i="17"/>
  <c r="AG164" i="17"/>
  <c r="AA164" i="17"/>
  <c r="U164" i="17"/>
  <c r="O164" i="17"/>
  <c r="I164" i="17"/>
  <c r="AG163" i="17"/>
  <c r="AA163" i="17"/>
  <c r="U163" i="17"/>
  <c r="O163" i="17"/>
  <c r="I163" i="17"/>
  <c r="AG162" i="17"/>
  <c r="AA162" i="17"/>
  <c r="U162" i="17"/>
  <c r="O162" i="17"/>
  <c r="I162" i="17"/>
  <c r="K154" i="17"/>
  <c r="K153" i="17"/>
  <c r="K152" i="17" a="1"/>
  <c r="K152" i="17" s="1"/>
  <c r="K150" i="17" a="1"/>
  <c r="K150" i="17" s="1"/>
  <c r="H149" i="17"/>
  <c r="B118" i="17" s="1"/>
  <c r="H147" i="17"/>
  <c r="H143" i="17"/>
  <c r="K133" i="17" a="1"/>
  <c r="K133" i="17" s="1"/>
  <c r="H132" i="17"/>
  <c r="B116" i="17" s="1"/>
  <c r="Q131" i="17" a="1"/>
  <c r="Q131" i="17" s="1"/>
  <c r="K131" i="17" a="1"/>
  <c r="K131" i="17" s="1"/>
  <c r="H130" i="17"/>
  <c r="Q127" i="17" a="1"/>
  <c r="Q127" i="17" s="1"/>
  <c r="Q126" i="17"/>
  <c r="H126" i="17"/>
  <c r="Q123" i="17" a="1"/>
  <c r="Q123" i="17" s="1"/>
  <c r="K123" i="17" a="1"/>
  <c r="K123" i="17" s="1"/>
  <c r="Q122" i="17"/>
  <c r="Q119" i="17" a="1"/>
  <c r="Q119" i="17" s="1"/>
  <c r="B117" i="17"/>
  <c r="N116" i="17"/>
  <c r="Q116" i="17" s="1" a="1"/>
  <c r="Q116" i="17" s="1"/>
  <c r="B115" i="17"/>
  <c r="N114" i="17"/>
  <c r="Q114" i="17" s="1" a="1"/>
  <c r="Q114" i="17" s="1"/>
  <c r="H112" i="17" a="1"/>
  <c r="K115" i="17" s="1" a="1"/>
  <c r="K115" i="17" s="1"/>
  <c r="N95" i="17" a="1"/>
  <c r="Q96" i="17" s="1" a="1"/>
  <c r="Q96" i="17" s="1"/>
  <c r="H94" i="17" a="1"/>
  <c r="K95" i="17" s="1" a="1"/>
  <c r="K95" i="17" s="1"/>
  <c r="N82" i="17" a="1"/>
  <c r="Q83" i="17" s="1" a="1"/>
  <c r="Q83" i="17" s="1"/>
  <c r="N77" i="17" a="1"/>
  <c r="Q80" i="17" s="1" a="1"/>
  <c r="Q80" i="17" s="1"/>
  <c r="H69" i="17"/>
  <c r="K69" i="17" s="1" a="1"/>
  <c r="K69" i="17" s="1"/>
  <c r="H68" i="17"/>
  <c r="K68" i="17" s="1" a="1"/>
  <c r="K68" i="17" s="1"/>
  <c r="H67" i="17"/>
  <c r="K67" i="17" s="1" a="1"/>
  <c r="K67" i="17" s="1"/>
  <c r="H66" i="17"/>
  <c r="K66" i="17" s="1" a="1"/>
  <c r="K66" i="17" s="1"/>
  <c r="H63" i="17"/>
  <c r="H62" i="17"/>
  <c r="B60" i="17"/>
  <c r="B293" i="17" s="1"/>
  <c r="N59" i="17" a="1"/>
  <c r="Q73" i="17" s="1" a="1"/>
  <c r="Q73" i="17" s="1"/>
  <c r="I48" i="17" a="1"/>
  <c r="I48" i="17" s="1"/>
  <c r="K48" i="17" s="1"/>
  <c r="E42" i="17"/>
  <c r="I41" i="17" a="1"/>
  <c r="I41" i="17" s="1"/>
  <c r="K41" i="17" s="1"/>
  <c r="C41" i="17"/>
  <c r="E41" i="17" s="1"/>
  <c r="B368" i="1"/>
  <c r="K52" i="19" l="1" a="1"/>
  <c r="K52" i="19" s="1"/>
  <c r="K58" i="19" a="1"/>
  <c r="K58" i="19" s="1"/>
  <c r="K63" i="19" a="1"/>
  <c r="K63" i="19" s="1"/>
  <c r="K54" i="19" a="1"/>
  <c r="K54" i="19" s="1"/>
  <c r="K60" i="19" a="1"/>
  <c r="K60" i="19" s="1"/>
  <c r="K64" i="19" a="1"/>
  <c r="K64" i="19" s="1"/>
  <c r="K49" i="19" a="1"/>
  <c r="K49" i="19" s="1"/>
  <c r="K55" i="19" a="1"/>
  <c r="K55" i="19" s="1"/>
  <c r="K61" i="19" a="1"/>
  <c r="K61" i="19" s="1"/>
  <c r="K51" i="19" a="1"/>
  <c r="K51" i="19" s="1"/>
  <c r="I53" i="19" s="1"/>
  <c r="K53" i="19" s="1"/>
  <c r="K57" i="19" a="1"/>
  <c r="K57" i="19" s="1"/>
  <c r="K62" i="19" a="1"/>
  <c r="K62" i="19" s="1"/>
  <c r="I59" i="19"/>
  <c r="K59" i="19" s="1"/>
  <c r="I56" i="19"/>
  <c r="K56" i="19" s="1"/>
  <c r="I50" i="19"/>
  <c r="K50" i="19" s="1"/>
  <c r="K75" i="18" a="1"/>
  <c r="K75" i="18" s="1"/>
  <c r="K81" i="18" a="1"/>
  <c r="K81" i="18" s="1"/>
  <c r="K87" i="18" a="1"/>
  <c r="K87" i="18" s="1"/>
  <c r="K77" i="18" a="1"/>
  <c r="K77" i="18" s="1"/>
  <c r="K83" i="18" a="1"/>
  <c r="K83" i="18" s="1"/>
  <c r="I85" i="18" s="1"/>
  <c r="K85" i="18" s="1"/>
  <c r="K88" i="18" a="1"/>
  <c r="K88" i="18" s="1"/>
  <c r="K78" i="18" a="1"/>
  <c r="K78" i="18" s="1"/>
  <c r="K84" i="18" a="1"/>
  <c r="K84" i="18" s="1"/>
  <c r="K80" i="18" a="1"/>
  <c r="K80" i="18" s="1"/>
  <c r="K86" i="18" a="1"/>
  <c r="K86" i="18" s="1"/>
  <c r="K90" i="18" a="1"/>
  <c r="K90" i="18" s="1"/>
  <c r="I82" i="18"/>
  <c r="K82" i="18" s="1"/>
  <c r="I79" i="18"/>
  <c r="K79" i="18" s="1"/>
  <c r="I76" i="18"/>
  <c r="K76" i="18" s="1"/>
  <c r="K88" i="17" a="1"/>
  <c r="K88" i="17" s="1"/>
  <c r="K78" i="17" a="1"/>
  <c r="K78" i="17" s="1"/>
  <c r="K85" i="17" a="1"/>
  <c r="K85" i="17" s="1"/>
  <c r="K89" i="17" a="1"/>
  <c r="K89" i="17" s="1"/>
  <c r="K79" i="17" a="1"/>
  <c r="K79" i="17" s="1"/>
  <c r="K84" i="17" a="1"/>
  <c r="K84" i="17" s="1"/>
  <c r="K90" i="17" a="1"/>
  <c r="K90" i="17" s="1"/>
  <c r="K81" i="17" a="1"/>
  <c r="K81" i="17" s="1"/>
  <c r="K87" i="17" a="1"/>
  <c r="K87" i="17" s="1"/>
  <c r="K91" i="17" a="1"/>
  <c r="K91" i="17" s="1"/>
  <c r="I77" i="17"/>
  <c r="K77" i="17" s="1"/>
  <c r="I83" i="17"/>
  <c r="K83" i="17" s="1"/>
  <c r="N58" i="18"/>
  <c r="B60" i="18" s="1"/>
  <c r="B293" i="18" s="1"/>
  <c r="Q82" i="18" a="1"/>
  <c r="Q82" i="18" s="1"/>
  <c r="Q42" i="19" a="1"/>
  <c r="Q42" i="19" s="1"/>
  <c r="Q60" i="18" a="1"/>
  <c r="Q60" i="18" s="1"/>
  <c r="Q34" i="19" a="1"/>
  <c r="Q34" i="19" s="1"/>
  <c r="N77" i="17"/>
  <c r="B62" i="17" s="1"/>
  <c r="B295" i="17" s="1"/>
  <c r="Q41" i="19" a="1"/>
  <c r="Q41" i="19" s="1"/>
  <c r="Q57" i="19" a="1"/>
  <c r="Q57" i="19" s="1"/>
  <c r="N55" i="19"/>
  <c r="B36" i="19" s="1"/>
  <c r="B269" i="19" s="1"/>
  <c r="H245" i="19"/>
  <c r="N94" i="18"/>
  <c r="B64" i="18" s="1"/>
  <c r="B297" i="18" s="1"/>
  <c r="K113" i="17" a="1"/>
  <c r="K113" i="17" s="1"/>
  <c r="O113" i="17" s="1"/>
  <c r="Q113" i="17" s="1"/>
  <c r="Q115" i="17" s="1"/>
  <c r="Q124" i="17" s="1"/>
  <c r="Q138" i="17" s="1"/>
  <c r="F21" i="14"/>
  <c r="I21" i="14" s="1"/>
  <c r="K21" i="14" s="1"/>
  <c r="K68" i="19" a="1"/>
  <c r="K68" i="19" s="1"/>
  <c r="H85" i="19"/>
  <c r="B84" i="19"/>
  <c r="K86" i="19" a="1"/>
  <c r="K86" i="19" s="1"/>
  <c r="O86" i="19" s="1"/>
  <c r="Q86" i="19" s="1"/>
  <c r="Q90" i="19" s="1"/>
  <c r="Q101" i="19" s="1"/>
  <c r="Q112" i="19" s="1"/>
  <c r="H67" i="19"/>
  <c r="K67" i="19" s="1" a="1"/>
  <c r="K67" i="19" s="1"/>
  <c r="B85" i="19"/>
  <c r="K88" i="19" a="1"/>
  <c r="K88" i="19" s="1"/>
  <c r="I90" i="19" s="1"/>
  <c r="K90" i="19" s="1"/>
  <c r="N95" i="17"/>
  <c r="B65" i="17" s="1"/>
  <c r="B298" i="17" s="1"/>
  <c r="Q95" i="18" a="1"/>
  <c r="Q95" i="18" s="1"/>
  <c r="Q70" i="18" a="1"/>
  <c r="Q70" i="18" s="1"/>
  <c r="Q96" i="18" a="1"/>
  <c r="Q96" i="18" s="1"/>
  <c r="H274" i="18"/>
  <c r="I268" i="17"/>
  <c r="B111" i="17"/>
  <c r="I274" i="17"/>
  <c r="Q63" i="17" a="1"/>
  <c r="Q63" i="17" s="1"/>
  <c r="B112" i="17"/>
  <c r="I265" i="17"/>
  <c r="K116" i="17" a="1"/>
  <c r="K116" i="17" s="1"/>
  <c r="I117" i="17" s="1"/>
  <c r="K117" i="17" s="1"/>
  <c r="I275" i="17"/>
  <c r="Q64" i="18" a="1"/>
  <c r="Q64" i="18" s="1"/>
  <c r="O66" i="18" s="1"/>
  <c r="Q66" i="18" s="1"/>
  <c r="Q68" i="18" a="1"/>
  <c r="Q68" i="18" s="1"/>
  <c r="N81" i="18"/>
  <c r="B62" i="18" s="1"/>
  <c r="B295" i="18" s="1"/>
  <c r="K98" i="18" a="1"/>
  <c r="K98" i="18" s="1"/>
  <c r="K101" i="18" a="1"/>
  <c r="K101" i="18" s="1"/>
  <c r="K112" i="18" a="1"/>
  <c r="K112" i="18" s="1"/>
  <c r="O112" i="18" s="1"/>
  <c r="Q112" i="18" s="1"/>
  <c r="K115" i="18" a="1"/>
  <c r="K115" i="18" s="1"/>
  <c r="I116" i="18" s="1"/>
  <c r="K116" i="18" s="1"/>
  <c r="C111" i="18" s="1"/>
  <c r="E111" i="18" s="1"/>
  <c r="C162" i="18" s="1"/>
  <c r="I270" i="18"/>
  <c r="I276" i="18"/>
  <c r="Q81" i="18"/>
  <c r="C62" i="18" s="1"/>
  <c r="E62" i="18" s="1"/>
  <c r="D295" i="18" s="1"/>
  <c r="F43" i="20" s="1"/>
  <c r="K102" i="18" a="1"/>
  <c r="K102" i="18" s="1"/>
  <c r="I70" i="18"/>
  <c r="K70" i="18" s="1"/>
  <c r="Q67" i="18" a="1"/>
  <c r="Q67" i="18" s="1"/>
  <c r="Q73" i="18" a="1"/>
  <c r="Q73" i="18" s="1"/>
  <c r="H93" i="18"/>
  <c r="K93" i="18" s="1" a="1"/>
  <c r="K93" i="18" s="1"/>
  <c r="B110" i="18"/>
  <c r="H271" i="18"/>
  <c r="I273" i="18"/>
  <c r="Q62" i="17" a="1"/>
  <c r="Q62" i="17" s="1"/>
  <c r="I266" i="17"/>
  <c r="Q78" i="17" a="1"/>
  <c r="Q78" i="17" s="1"/>
  <c r="Q97" i="17" a="1"/>
  <c r="Q97" i="17" s="1"/>
  <c r="H278" i="17"/>
  <c r="Q79" i="17" a="1"/>
  <c r="Q79" i="17" s="1"/>
  <c r="Q99" i="17" a="1"/>
  <c r="Q99" i="17" s="1"/>
  <c r="H112" i="17"/>
  <c r="I278" i="17"/>
  <c r="J275" i="17"/>
  <c r="R24" i="20" s="1"/>
  <c r="I277" i="17"/>
  <c r="J278" i="17"/>
  <c r="R27" i="20" s="1"/>
  <c r="I248" i="19"/>
  <c r="Q44" i="19" a="1"/>
  <c r="Q44" i="19" s="1"/>
  <c r="K69" i="19" a="1"/>
  <c r="K69" i="19" s="1"/>
  <c r="I70" i="19" s="1"/>
  <c r="K70" i="19" s="1"/>
  <c r="I247" i="19"/>
  <c r="N32" i="19"/>
  <c r="B34" i="19" s="1"/>
  <c r="B267" i="19" s="1"/>
  <c r="I44" i="19"/>
  <c r="K44" i="19" s="1"/>
  <c r="Q88" i="19"/>
  <c r="Q97" i="19" s="1"/>
  <c r="Q111" i="19" s="1"/>
  <c r="Q47" i="19" a="1"/>
  <c r="Q47" i="19" s="1"/>
  <c r="O48" i="19" s="1"/>
  <c r="Q48" i="19" s="1"/>
  <c r="H248" i="19"/>
  <c r="I43" i="19"/>
  <c r="K43" i="19" s="1"/>
  <c r="I45" i="19" s="1"/>
  <c r="K45" i="19" s="1"/>
  <c r="Q55" i="19"/>
  <c r="C36" i="19" s="1"/>
  <c r="E36" i="19" s="1"/>
  <c r="D269" i="19" s="1"/>
  <c r="L216" i="19"/>
  <c r="D260" i="19" s="1"/>
  <c r="L214" i="19"/>
  <c r="D258" i="19" s="1"/>
  <c r="D233" i="19"/>
  <c r="Q33" i="19" a="1"/>
  <c r="Q33" i="19" s="1"/>
  <c r="Q39" i="19" a="1"/>
  <c r="Q39" i="19" s="1"/>
  <c r="K76" i="19" a="1"/>
  <c r="K76" i="19" s="1"/>
  <c r="K75" i="19" a="1"/>
  <c r="K75" i="19" s="1"/>
  <c r="K73" i="19" a="1"/>
  <c r="K73" i="19" s="1"/>
  <c r="K72" i="19" a="1"/>
  <c r="K72" i="19" s="1"/>
  <c r="Q72" i="19" a="1"/>
  <c r="Q72" i="19" s="1"/>
  <c r="Q70" i="19" a="1"/>
  <c r="Q70" i="19" s="1"/>
  <c r="AI155" i="19" a="1"/>
  <c r="AI155" i="19" s="1"/>
  <c r="AI156" i="19" s="1"/>
  <c r="K155" i="19" a="1"/>
  <c r="K155" i="19" s="1"/>
  <c r="K156" i="19" s="1"/>
  <c r="Q155" i="19" a="1"/>
  <c r="Q155" i="19" s="1"/>
  <c r="Q156" i="19" s="1"/>
  <c r="W155" i="19" a="1"/>
  <c r="W155" i="19" s="1"/>
  <c r="W156" i="19" s="1"/>
  <c r="AC155" i="19" a="1"/>
  <c r="AC155" i="19" s="1"/>
  <c r="AC156" i="19" s="1"/>
  <c r="Q35" i="19" a="1"/>
  <c r="Q35" i="19" s="1"/>
  <c r="Q36" i="19" a="1"/>
  <c r="Q36" i="19" s="1"/>
  <c r="N50" i="19"/>
  <c r="B35" i="19" s="1"/>
  <c r="B268" i="19" s="1"/>
  <c r="Q51" i="19" a="1"/>
  <c r="Q51" i="19" s="1"/>
  <c r="Q52" i="19" a="1"/>
  <c r="Q52" i="19" s="1"/>
  <c r="N68" i="19"/>
  <c r="B38" i="19" s="1"/>
  <c r="B271" i="19" s="1"/>
  <c r="D143" i="19"/>
  <c r="D145" i="19"/>
  <c r="D147" i="19"/>
  <c r="F213" i="19"/>
  <c r="D247" i="19" s="1"/>
  <c r="F214" i="19"/>
  <c r="D248" i="19" s="1"/>
  <c r="R214" i="19"/>
  <c r="J241" i="19" s="1"/>
  <c r="F215" i="19"/>
  <c r="D249" i="19" s="1"/>
  <c r="F216" i="19"/>
  <c r="D250" i="19" s="1"/>
  <c r="R216" i="19"/>
  <c r="J247" i="19" s="1"/>
  <c r="L213" i="19"/>
  <c r="D257" i="19" s="1"/>
  <c r="F217" i="19"/>
  <c r="D251" i="19" s="1"/>
  <c r="L215" i="19"/>
  <c r="D259" i="19" s="1"/>
  <c r="R217" i="19"/>
  <c r="J250" i="19" s="1"/>
  <c r="I239" i="19"/>
  <c r="I241" i="19"/>
  <c r="H242" i="19"/>
  <c r="L244" i="19"/>
  <c r="J248" i="19"/>
  <c r="I251" i="19"/>
  <c r="I242" i="19"/>
  <c r="L247" i="19"/>
  <c r="J251" i="19"/>
  <c r="L238" i="19"/>
  <c r="L250" i="19"/>
  <c r="K251" i="19"/>
  <c r="I238" i="19"/>
  <c r="L241" i="19"/>
  <c r="I250" i="19"/>
  <c r="I69" i="18"/>
  <c r="K69" i="18" s="1"/>
  <c r="I71" i="18" s="1"/>
  <c r="K71" i="18" s="1"/>
  <c r="Q61" i="18" a="1"/>
  <c r="Q61" i="18" s="1"/>
  <c r="Q62" i="18" a="1"/>
  <c r="Q62" i="18" s="1"/>
  <c r="Q72" i="18" a="1"/>
  <c r="Q72" i="18" s="1"/>
  <c r="N76" i="18"/>
  <c r="B61" i="18" s="1"/>
  <c r="B294" i="18" s="1"/>
  <c r="Q77" i="18" a="1"/>
  <c r="Q77" i="18" s="1"/>
  <c r="Q78" i="18" a="1"/>
  <c r="Q78" i="18" s="1"/>
  <c r="L242" i="18"/>
  <c r="D286" i="18" s="1"/>
  <c r="F34" i="20" s="1"/>
  <c r="F242" i="18"/>
  <c r="D276" i="18" s="1"/>
  <c r="F25" i="20" s="1"/>
  <c r="L240" i="18"/>
  <c r="D284" i="18" s="1"/>
  <c r="F32" i="20" s="1"/>
  <c r="D259" i="18"/>
  <c r="F9" i="20" s="1"/>
  <c r="Q59" i="18" a="1"/>
  <c r="Q59" i="18" s="1"/>
  <c r="K95" i="18" a="1"/>
  <c r="K95" i="18" s="1"/>
  <c r="I96" i="18" s="1"/>
  <c r="K96" i="18" s="1"/>
  <c r="K94" i="18" a="1"/>
  <c r="K94" i="18" s="1"/>
  <c r="K99" i="18" a="1"/>
  <c r="K99" i="18" s="1"/>
  <c r="AC181" i="18" a="1"/>
  <c r="AC181" i="18" s="1"/>
  <c r="AC182" i="18" s="1"/>
  <c r="AI181" i="18" a="1"/>
  <c r="AI181" i="18" s="1"/>
  <c r="K181" i="18" a="1"/>
  <c r="K181" i="18" s="1"/>
  <c r="K182" i="18" s="1"/>
  <c r="Q181" i="18" a="1"/>
  <c r="Q181" i="18" s="1"/>
  <c r="W181" i="18" a="1"/>
  <c r="W181" i="18" s="1"/>
  <c r="W182" i="18" s="1"/>
  <c r="F239" i="18"/>
  <c r="D273" i="18" s="1"/>
  <c r="F22" i="20" s="1"/>
  <c r="L241" i="18"/>
  <c r="D285" i="18" s="1"/>
  <c r="F33" i="20" s="1"/>
  <c r="R242" i="18"/>
  <c r="J273" i="18" s="1"/>
  <c r="T23" i="20" s="1"/>
  <c r="B111" i="18"/>
  <c r="H111" i="18"/>
  <c r="F240" i="18"/>
  <c r="D274" i="18" s="1"/>
  <c r="F23" i="20" s="1"/>
  <c r="R240" i="18"/>
  <c r="J267" i="18" s="1"/>
  <c r="F243" i="18"/>
  <c r="D277" i="18" s="1"/>
  <c r="F26" i="20" s="1"/>
  <c r="L239" i="18"/>
  <c r="D283" i="18" s="1"/>
  <c r="F31" i="20" s="1"/>
  <c r="F241" i="18"/>
  <c r="D275" i="18" s="1"/>
  <c r="F24" i="20" s="1"/>
  <c r="R243" i="18"/>
  <c r="J276" i="18" s="1"/>
  <c r="T26" i="20" s="1"/>
  <c r="I265" i="18"/>
  <c r="I267" i="18"/>
  <c r="H268" i="18"/>
  <c r="L270" i="18"/>
  <c r="J274" i="18"/>
  <c r="T24" i="20" s="1"/>
  <c r="I277" i="18"/>
  <c r="L273" i="18"/>
  <c r="K274" i="18"/>
  <c r="X24" i="20" s="1"/>
  <c r="J277" i="18"/>
  <c r="T27" i="20" s="1"/>
  <c r="L264" i="18"/>
  <c r="L276" i="18"/>
  <c r="K277" i="18"/>
  <c r="X27" i="20" s="1"/>
  <c r="I264" i="18"/>
  <c r="L267" i="18"/>
  <c r="I70" i="17"/>
  <c r="K70" i="17" s="1"/>
  <c r="I72" i="17" s="1"/>
  <c r="K72" i="17" s="1"/>
  <c r="D260" i="17"/>
  <c r="D9" i="20" s="1"/>
  <c r="R244" i="17"/>
  <c r="J277" i="17" s="1"/>
  <c r="R26" i="20" s="1"/>
  <c r="F243" i="17"/>
  <c r="D277" i="17" s="1"/>
  <c r="D25" i="20" s="1"/>
  <c r="I71" i="17"/>
  <c r="K71" i="17" s="1"/>
  <c r="Q182" i="17" a="1"/>
  <c r="Q182" i="17" s="1"/>
  <c r="Q183" i="17" s="1"/>
  <c r="K182" i="17" a="1"/>
  <c r="K182" i="17" s="1"/>
  <c r="K183" i="17" s="1"/>
  <c r="AC182" i="17" a="1"/>
  <c r="AC182" i="17" s="1"/>
  <c r="AI182" i="17" a="1"/>
  <c r="AI182" i="17" s="1"/>
  <c r="AI183" i="17" s="1"/>
  <c r="W182" i="17" a="1"/>
  <c r="W182" i="17" s="1"/>
  <c r="Q66" i="17" a="1"/>
  <c r="Q66" i="17" s="1"/>
  <c r="N59" i="17"/>
  <c r="B61" i="17" s="1"/>
  <c r="B294" i="17" s="1"/>
  <c r="Q61" i="17" a="1"/>
  <c r="Q61" i="17" s="1"/>
  <c r="Q65" i="17" a="1"/>
  <c r="Q65" i="17" s="1"/>
  <c r="Q69" i="17" a="1"/>
  <c r="Q69" i="17" s="1"/>
  <c r="Q71" i="17" a="1"/>
  <c r="Q71" i="17" s="1"/>
  <c r="Q84" i="17" a="1"/>
  <c r="Q84" i="17" s="1"/>
  <c r="Q82" i="17" s="1"/>
  <c r="C63" i="17" s="1"/>
  <c r="E63" i="17" s="1"/>
  <c r="D296" i="17" s="1"/>
  <c r="D43" i="20" s="1"/>
  <c r="Q60" i="17" a="1"/>
  <c r="Q60" i="17" s="1"/>
  <c r="K103" i="17" a="1"/>
  <c r="K103" i="17" s="1"/>
  <c r="K102" i="17" a="1"/>
  <c r="K102" i="17" s="1"/>
  <c r="K100" i="17" a="1"/>
  <c r="K100" i="17" s="1"/>
  <c r="K99" i="17" a="1"/>
  <c r="K99" i="17" s="1"/>
  <c r="H94" i="17"/>
  <c r="K94" i="17" s="1" a="1"/>
  <c r="K94" i="17" s="1"/>
  <c r="Q68" i="17" a="1"/>
  <c r="Q68" i="17" s="1"/>
  <c r="Q74" i="17" a="1"/>
  <c r="Q74" i="17" s="1"/>
  <c r="O75" i="17" s="1"/>
  <c r="Q75" i="17" s="1"/>
  <c r="N82" i="17"/>
  <c r="B63" i="17" s="1"/>
  <c r="B296" i="17" s="1"/>
  <c r="K96" i="17" a="1"/>
  <c r="K96" i="17" s="1"/>
  <c r="I97" i="17" s="1"/>
  <c r="K97" i="17" s="1"/>
  <c r="F242" i="17"/>
  <c r="D276" i="17" s="1"/>
  <c r="D24" i="20" s="1"/>
  <c r="L243" i="17"/>
  <c r="D287" i="17" s="1"/>
  <c r="D34" i="20" s="1"/>
  <c r="F240" i="17"/>
  <c r="D274" i="17" s="1"/>
  <c r="D22" i="20" s="1"/>
  <c r="L241" i="17"/>
  <c r="D285" i="17" s="1"/>
  <c r="D32" i="20" s="1"/>
  <c r="R243" i="17"/>
  <c r="J274" i="17" s="1"/>
  <c r="D170" i="17"/>
  <c r="D174" i="17"/>
  <c r="L242" i="17"/>
  <c r="D286" i="17" s="1"/>
  <c r="D33" i="20" s="1"/>
  <c r="F244" i="17"/>
  <c r="D278" i="17" s="1"/>
  <c r="D26" i="20" s="1"/>
  <c r="L240" i="17"/>
  <c r="D284" i="17" s="1"/>
  <c r="D31" i="20" s="1"/>
  <c r="F241" i="17"/>
  <c r="D275" i="17" s="1"/>
  <c r="D23" i="20" s="1"/>
  <c r="R241" i="17"/>
  <c r="J268" i="17" s="1"/>
  <c r="L268" i="17"/>
  <c r="I272" i="17"/>
  <c r="H272" i="17"/>
  <c r="I271" i="17"/>
  <c r="I269" i="17"/>
  <c r="L274" i="17"/>
  <c r="K275" i="17"/>
  <c r="V24" i="20" s="1"/>
  <c r="L265" i="17"/>
  <c r="L277" i="17"/>
  <c r="G101" i="1"/>
  <c r="K98" i="17" s="1" a="1"/>
  <c r="K98" i="17" s="1"/>
  <c r="E101" i="1"/>
  <c r="K97" i="18" s="1" a="1"/>
  <c r="K97" i="18" s="1"/>
  <c r="F101" i="1"/>
  <c r="K71" i="19" s="1" a="1"/>
  <c r="K71" i="19" s="1"/>
  <c r="I86" i="17" l="1"/>
  <c r="K86" i="17" s="1"/>
  <c r="I80" i="17"/>
  <c r="K80" i="17" s="1"/>
  <c r="K47" i="19"/>
  <c r="K73" i="18"/>
  <c r="K74" i="17"/>
  <c r="O74" i="18"/>
  <c r="Q74" i="18" s="1"/>
  <c r="K241" i="19"/>
  <c r="K250" i="19"/>
  <c r="K247" i="19"/>
  <c r="Q91" i="19"/>
  <c r="Q106" i="19" s="1"/>
  <c r="Q113" i="19" s="1"/>
  <c r="O64" i="17"/>
  <c r="Q64" i="17" s="1"/>
  <c r="K267" i="18"/>
  <c r="X17" i="20" s="1"/>
  <c r="T17" i="20"/>
  <c r="K268" i="17"/>
  <c r="V17" i="20" s="1"/>
  <c r="R17" i="20"/>
  <c r="K274" i="17"/>
  <c r="V23" i="20" s="1"/>
  <c r="R23" i="20"/>
  <c r="Q77" i="17"/>
  <c r="C62" i="17" s="1"/>
  <c r="E62" i="17" s="1"/>
  <c r="D295" i="17" s="1"/>
  <c r="D42" i="20" s="1"/>
  <c r="C85" i="19"/>
  <c r="E85" i="19" s="1"/>
  <c r="C136" i="19" s="1"/>
  <c r="K87" i="19"/>
  <c r="C84" i="19" s="1"/>
  <c r="E84" i="19" s="1"/>
  <c r="C135" i="19" s="1"/>
  <c r="Q114" i="18"/>
  <c r="Q123" i="18" s="1"/>
  <c r="Q137" i="18" s="1"/>
  <c r="Q116" i="18"/>
  <c r="Q127" i="18" s="1"/>
  <c r="Q138" i="18" s="1"/>
  <c r="K113" i="18"/>
  <c r="C110" i="18" s="1"/>
  <c r="E110" i="18" s="1"/>
  <c r="C161" i="18" s="1"/>
  <c r="C163" i="18" s="1"/>
  <c r="E295" i="18"/>
  <c r="J43" i="20" s="1"/>
  <c r="I100" i="18"/>
  <c r="K100" i="18" s="1"/>
  <c r="K92" i="18" s="1"/>
  <c r="K276" i="18"/>
  <c r="X26" i="20" s="1"/>
  <c r="K273" i="18"/>
  <c r="X23" i="20" s="1"/>
  <c r="O63" i="18"/>
  <c r="Q63" i="18" s="1"/>
  <c r="C112" i="17"/>
  <c r="E112" i="17" s="1"/>
  <c r="K114" i="17"/>
  <c r="C111" i="17" s="1"/>
  <c r="E111" i="17" s="1"/>
  <c r="C162" i="17" s="1"/>
  <c r="Q117" i="17"/>
  <c r="Q128" i="17" s="1"/>
  <c r="Q139" i="17" s="1"/>
  <c r="O67" i="17"/>
  <c r="Q67" i="17" s="1"/>
  <c r="Q50" i="19"/>
  <c r="C35" i="19" s="1"/>
  <c r="E35" i="19" s="1"/>
  <c r="D268" i="19" s="1"/>
  <c r="E268" i="19" s="1"/>
  <c r="O37" i="19"/>
  <c r="Q37" i="19" s="1"/>
  <c r="E257" i="19"/>
  <c r="D256" i="19"/>
  <c r="E247" i="19"/>
  <c r="D246" i="19"/>
  <c r="E251" i="19"/>
  <c r="E258" i="19"/>
  <c r="E250" i="19"/>
  <c r="E260" i="19"/>
  <c r="E269" i="19"/>
  <c r="E259" i="19"/>
  <c r="E249" i="19"/>
  <c r="E248" i="19"/>
  <c r="I74" i="19"/>
  <c r="K74" i="19" s="1"/>
  <c r="K66" i="19" s="1"/>
  <c r="C43" i="19" s="1"/>
  <c r="E43" i="19" s="1"/>
  <c r="E274" i="18"/>
  <c r="J23" i="20" s="1"/>
  <c r="D260" i="18"/>
  <c r="F286" i="18" s="1"/>
  <c r="N34" i="20" s="1"/>
  <c r="E283" i="18"/>
  <c r="J31" i="20" s="1"/>
  <c r="D282" i="18"/>
  <c r="F30" i="20" s="1"/>
  <c r="E286" i="18"/>
  <c r="J34" i="20" s="1"/>
  <c r="E285" i="18"/>
  <c r="J33" i="20" s="1"/>
  <c r="E275" i="18"/>
  <c r="J24" i="20" s="1"/>
  <c r="E277" i="18"/>
  <c r="J26" i="20" s="1"/>
  <c r="E284" i="18"/>
  <c r="J32" i="20" s="1"/>
  <c r="Q76" i="18"/>
  <c r="C61" i="18" s="1"/>
  <c r="E61" i="18" s="1"/>
  <c r="D294" i="18" s="1"/>
  <c r="F42" i="20" s="1"/>
  <c r="E273" i="18"/>
  <c r="J22" i="20" s="1"/>
  <c r="D272" i="18"/>
  <c r="F21" i="20" s="1"/>
  <c r="E276" i="18"/>
  <c r="J25" i="20" s="1"/>
  <c r="Q182" i="18"/>
  <c r="AI182" i="18"/>
  <c r="E296" i="17"/>
  <c r="H43" i="20" s="1"/>
  <c r="E278" i="17"/>
  <c r="H26" i="20" s="1"/>
  <c r="D273" i="17"/>
  <c r="D21" i="20" s="1"/>
  <c r="E274" i="17"/>
  <c r="H22" i="20" s="1"/>
  <c r="E275" i="17"/>
  <c r="H23" i="20" s="1"/>
  <c r="E286" i="17"/>
  <c r="H33" i="20" s="1"/>
  <c r="E276" i="17"/>
  <c r="H24" i="20" s="1"/>
  <c r="AC183" i="17"/>
  <c r="E277" i="17"/>
  <c r="H25" i="20" s="1"/>
  <c r="E284" i="17"/>
  <c r="H31" i="20" s="1"/>
  <c r="D283" i="17"/>
  <c r="D30" i="20" s="1"/>
  <c r="K277" i="17"/>
  <c r="V26" i="20" s="1"/>
  <c r="E285" i="17"/>
  <c r="H32" i="20" s="1"/>
  <c r="E287" i="17"/>
  <c r="H34" i="20" s="1"/>
  <c r="I101" i="17"/>
  <c r="K101" i="17" s="1"/>
  <c r="K93" i="17" s="1"/>
  <c r="W183" i="17"/>
  <c r="B282" i="16"/>
  <c r="B30" i="20" s="1"/>
  <c r="B280" i="16"/>
  <c r="B28" i="20" s="1"/>
  <c r="B272" i="16"/>
  <c r="B21" i="20" s="1"/>
  <c r="E95" i="1"/>
  <c r="E115" i="18" l="1"/>
  <c r="E295" i="17"/>
  <c r="H42" i="20" s="1"/>
  <c r="E89" i="19"/>
  <c r="C89" i="19" s="1"/>
  <c r="F276" i="18"/>
  <c r="N25" i="20" s="1"/>
  <c r="D234" i="19"/>
  <c r="F250" i="19" s="1"/>
  <c r="C137" i="19"/>
  <c r="F295" i="18"/>
  <c r="N43" i="20" s="1"/>
  <c r="F10" i="20"/>
  <c r="E260" i="18"/>
  <c r="J10" i="20" s="1"/>
  <c r="C42" i="19"/>
  <c r="C44" i="19" s="1"/>
  <c r="F284" i="18"/>
  <c r="N32" i="20" s="1"/>
  <c r="Q117" i="18"/>
  <c r="Q132" i="18" s="1"/>
  <c r="Q139" i="18" s="1"/>
  <c r="D261" i="17"/>
  <c r="F295" i="17" s="1"/>
  <c r="L42" i="20" s="1"/>
  <c r="E116" i="17"/>
  <c r="Q118" i="17"/>
  <c r="Q133" i="17" s="1"/>
  <c r="Q140" i="17" s="1"/>
  <c r="F273" i="18"/>
  <c r="N22" i="20" s="1"/>
  <c r="F277" i="18"/>
  <c r="N26" i="20" s="1"/>
  <c r="F283" i="18"/>
  <c r="N31" i="20" s="1"/>
  <c r="F285" i="18"/>
  <c r="N33" i="20" s="1"/>
  <c r="F275" i="18"/>
  <c r="N24" i="20" s="1"/>
  <c r="C163" i="17"/>
  <c r="C164" i="17" s="1"/>
  <c r="O97" i="18"/>
  <c r="Q97" i="18" s="1"/>
  <c r="E256" i="19"/>
  <c r="E246" i="19"/>
  <c r="O73" i="19"/>
  <c r="Q73" i="19" s="1"/>
  <c r="E294" i="18"/>
  <c r="J42" i="20" s="1"/>
  <c r="F294" i="18"/>
  <c r="N42" i="20" s="1"/>
  <c r="F274" i="18"/>
  <c r="E272" i="18"/>
  <c r="J21" i="20" s="1"/>
  <c r="C115" i="18"/>
  <c r="E282" i="18"/>
  <c r="J30" i="20" s="1"/>
  <c r="C69" i="18"/>
  <c r="E69" i="18" s="1"/>
  <c r="O99" i="18"/>
  <c r="Q99" i="18" s="1"/>
  <c r="C70" i="17"/>
  <c r="E70" i="17" s="1"/>
  <c r="O100" i="17"/>
  <c r="Q100" i="17" s="1"/>
  <c r="E283" i="17"/>
  <c r="H30" i="20" s="1"/>
  <c r="F286" i="17"/>
  <c r="L33" i="20" s="1"/>
  <c r="E273" i="17"/>
  <c r="H21" i="20" s="1"/>
  <c r="F278" i="17"/>
  <c r="L26" i="20" s="1"/>
  <c r="M125" i="1"/>
  <c r="L125" i="1"/>
  <c r="K125" i="1"/>
  <c r="J125" i="1"/>
  <c r="I125" i="1"/>
  <c r="F125" i="1"/>
  <c r="G125" i="1"/>
  <c r="E125" i="1"/>
  <c r="F122" i="1"/>
  <c r="Q43" i="19" s="1" a="1"/>
  <c r="Q43" i="19" s="1"/>
  <c r="O45" i="19" s="1"/>
  <c r="Q45" i="19" s="1"/>
  <c r="G122" i="1"/>
  <c r="Q70" i="17" s="1" a="1"/>
  <c r="Q70" i="17" s="1"/>
  <c r="O72" i="17" s="1"/>
  <c r="Q72" i="17" s="1"/>
  <c r="Q59" i="17" s="1"/>
  <c r="C61" i="17" s="1"/>
  <c r="E61" i="17" s="1"/>
  <c r="E122" i="1"/>
  <c r="Q69" i="18" s="1" a="1"/>
  <c r="Q69" i="18" s="1"/>
  <c r="O71" i="18" s="1"/>
  <c r="Q71" i="18" s="1"/>
  <c r="Q58" i="18" s="1"/>
  <c r="C60" i="18" s="1"/>
  <c r="E60" i="18" s="1"/>
  <c r="M217" i="1"/>
  <c r="L217" i="1"/>
  <c r="K217" i="1"/>
  <c r="J217" i="1"/>
  <c r="I217" i="1"/>
  <c r="H217" i="1"/>
  <c r="G217" i="1"/>
  <c r="F217" i="1"/>
  <c r="E217" i="1"/>
  <c r="M209" i="1"/>
  <c r="L209" i="1"/>
  <c r="K209" i="1"/>
  <c r="J209" i="1"/>
  <c r="I209" i="1"/>
  <c r="H209" i="1"/>
  <c r="F209" i="1"/>
  <c r="G209" i="1"/>
  <c r="E209" i="1"/>
  <c r="B209" i="1"/>
  <c r="H276" i="16"/>
  <c r="P26" i="20" s="1"/>
  <c r="H273" i="16"/>
  <c r="P23" i="20" s="1"/>
  <c r="H270" i="16"/>
  <c r="P20" i="20" s="1"/>
  <c r="H267" i="16"/>
  <c r="P17" i="20" s="1"/>
  <c r="H264" i="16"/>
  <c r="P14" i="20" s="1"/>
  <c r="B274" i="16"/>
  <c r="B23" i="20" s="1"/>
  <c r="B275" i="16"/>
  <c r="B24" i="20" s="1"/>
  <c r="B276" i="16"/>
  <c r="B25" i="20" s="1"/>
  <c r="B277" i="16"/>
  <c r="B26" i="20" s="1"/>
  <c r="B273" i="16"/>
  <c r="B22" i="20" s="1"/>
  <c r="G411" i="1"/>
  <c r="Q241" i="18" s="1" a="1"/>
  <c r="Q241" i="18" s="1"/>
  <c r="R241" i="18" s="1"/>
  <c r="J270" i="18" s="1"/>
  <c r="F411" i="1"/>
  <c r="Q215" i="19" s="1" a="1"/>
  <c r="Q215" i="19" s="1"/>
  <c r="R215" i="19" s="1"/>
  <c r="J244" i="19" s="1"/>
  <c r="K244" i="19" s="1"/>
  <c r="E411" i="1"/>
  <c r="Q242" i="17" s="1" a="1"/>
  <c r="Q242" i="17" s="1"/>
  <c r="R242" i="17" s="1"/>
  <c r="J271" i="17" s="1"/>
  <c r="F412" i="1"/>
  <c r="E258" i="1"/>
  <c r="K147" i="18" s="1" a="1"/>
  <c r="K147" i="18" s="1"/>
  <c r="E117" i="18" s="1"/>
  <c r="C117" i="18" s="1"/>
  <c r="F258" i="1"/>
  <c r="K121" i="19" s="1" a="1"/>
  <c r="K121" i="19" s="1"/>
  <c r="E91" i="19" s="1"/>
  <c r="C91" i="19" s="1"/>
  <c r="G258" i="1"/>
  <c r="K148" i="17" s="1" a="1"/>
  <c r="K148" i="17" s="1"/>
  <c r="E118" i="17" s="1"/>
  <c r="C118" i="17" s="1"/>
  <c r="F274" i="17" l="1"/>
  <c r="L22" i="20" s="1"/>
  <c r="F257" i="19"/>
  <c r="F276" i="17"/>
  <c r="L24" i="20" s="1"/>
  <c r="F258" i="19"/>
  <c r="E234" i="19"/>
  <c r="F247" i="19"/>
  <c r="F269" i="19"/>
  <c r="F251" i="19"/>
  <c r="F260" i="19"/>
  <c r="F248" i="19"/>
  <c r="F268" i="19"/>
  <c r="F259" i="19"/>
  <c r="F249" i="19"/>
  <c r="E42" i="19"/>
  <c r="E44" i="19" s="1"/>
  <c r="K139" i="18" a="1"/>
  <c r="K139" i="18" s="1"/>
  <c r="K113" i="19" a="1"/>
  <c r="K113" i="19" s="1"/>
  <c r="K140" i="17" a="1"/>
  <c r="K140" i="17" s="1"/>
  <c r="D275" i="19"/>
  <c r="E275" i="19" s="1"/>
  <c r="K270" i="18"/>
  <c r="X20" i="20" s="1"/>
  <c r="T20" i="20"/>
  <c r="G412" i="1"/>
  <c r="Q239" i="18" s="1" a="1"/>
  <c r="Q239" i="18" s="1"/>
  <c r="R239" i="18" s="1"/>
  <c r="J264" i="18" s="1"/>
  <c r="Q213" i="19" a="1"/>
  <c r="Q213" i="19" s="1"/>
  <c r="R213" i="19" s="1"/>
  <c r="J238" i="19" s="1"/>
  <c r="K238" i="19" s="1"/>
  <c r="D301" i="18"/>
  <c r="F49" i="20" s="1"/>
  <c r="K271" i="17"/>
  <c r="V20" i="20" s="1"/>
  <c r="R20" i="20"/>
  <c r="F272" i="18"/>
  <c r="N21" i="20" s="1"/>
  <c r="N23" i="20"/>
  <c r="F275" i="17"/>
  <c r="L23" i="20" s="1"/>
  <c r="D10" i="20"/>
  <c r="E261" i="17"/>
  <c r="H10" i="20" s="1"/>
  <c r="O71" i="19"/>
  <c r="Q71" i="19" s="1"/>
  <c r="Q68" i="19" s="1"/>
  <c r="C38" i="19" s="1"/>
  <c r="E38" i="19" s="1"/>
  <c r="D271" i="19" s="1"/>
  <c r="F282" i="18"/>
  <c r="N30" i="20" s="1"/>
  <c r="C68" i="18"/>
  <c r="E68" i="18" s="1"/>
  <c r="E70" i="18" s="1"/>
  <c r="D302" i="17"/>
  <c r="D49" i="20" s="1"/>
  <c r="C116" i="17"/>
  <c r="F296" i="17"/>
  <c r="L43" i="20" s="1"/>
  <c r="F287" i="17"/>
  <c r="L34" i="20" s="1"/>
  <c r="F285" i="17"/>
  <c r="L32" i="20" s="1"/>
  <c r="F284" i="17"/>
  <c r="L31" i="20" s="1"/>
  <c r="F277" i="17"/>
  <c r="Q94" i="18"/>
  <c r="C64" i="18" s="1"/>
  <c r="E64" i="18" s="1"/>
  <c r="D297" i="18" s="1"/>
  <c r="F275" i="19"/>
  <c r="D293" i="18"/>
  <c r="F41" i="20" s="1"/>
  <c r="F301" i="18"/>
  <c r="N49" i="20" s="1"/>
  <c r="D294" i="17"/>
  <c r="D41" i="20" s="1"/>
  <c r="H274" i="16"/>
  <c r="P24" i="20" s="1"/>
  <c r="K274" i="16"/>
  <c r="W24" i="20" s="1"/>
  <c r="L273" i="16"/>
  <c r="I274" i="16"/>
  <c r="Q24" i="20" s="1"/>
  <c r="J274" i="16"/>
  <c r="S24" i="20" s="1"/>
  <c r="I273" i="16"/>
  <c r="Q23" i="20" s="1"/>
  <c r="I265" i="16"/>
  <c r="Q15" i="20" s="1"/>
  <c r="H265" i="16"/>
  <c r="P15" i="20" s="1"/>
  <c r="I264" i="16"/>
  <c r="Q14" i="20" s="1"/>
  <c r="L264" i="16"/>
  <c r="I277" i="16"/>
  <c r="Q27" i="20" s="1"/>
  <c r="H277" i="16"/>
  <c r="P27" i="20" s="1"/>
  <c r="J277" i="16"/>
  <c r="S27" i="20" s="1"/>
  <c r="I276" i="16"/>
  <c r="Q26" i="20" s="1"/>
  <c r="L276" i="16"/>
  <c r="K277" i="16"/>
  <c r="W27" i="20" s="1"/>
  <c r="I267" i="16"/>
  <c r="Q17" i="20" s="1"/>
  <c r="I268" i="16"/>
  <c r="Q18" i="20" s="1"/>
  <c r="L267" i="16"/>
  <c r="H268" i="16"/>
  <c r="P18" i="20" s="1"/>
  <c r="L270" i="16"/>
  <c r="I270" i="16"/>
  <c r="Q20" i="20" s="1"/>
  <c r="H271" i="16"/>
  <c r="P21" i="20" s="1"/>
  <c r="I271" i="16"/>
  <c r="Q21" i="20" s="1"/>
  <c r="E412" i="1"/>
  <c r="Q240" i="17" s="1" a="1"/>
  <c r="Q240" i="17" s="1"/>
  <c r="R240" i="17" s="1"/>
  <c r="J265" i="17" s="1"/>
  <c r="K240" i="16" a="1"/>
  <c r="K240" i="16" s="1"/>
  <c r="H240" i="16"/>
  <c r="B284" i="16" s="1"/>
  <c r="B32" i="20" s="1"/>
  <c r="F181" i="1"/>
  <c r="G180" i="1"/>
  <c r="G181" i="1" s="1"/>
  <c r="E180" i="1"/>
  <c r="E181" i="1" s="1"/>
  <c r="B191" i="1"/>
  <c r="B192" i="1"/>
  <c r="B193" i="1"/>
  <c r="B194" i="1"/>
  <c r="B195" i="1"/>
  <c r="B196" i="1"/>
  <c r="B217" i="1" s="1"/>
  <c r="K143" i="16" s="1" a="1"/>
  <c r="K143" i="16" s="1"/>
  <c r="B197" i="1"/>
  <c r="B198" i="1"/>
  <c r="B190" i="1"/>
  <c r="F302" i="17" l="1"/>
  <c r="L49" i="20" s="1"/>
  <c r="E302" i="17"/>
  <c r="H49" i="20" s="1"/>
  <c r="E301" i="18"/>
  <c r="J49" i="20" s="1"/>
  <c r="F246" i="19"/>
  <c r="F256" i="19"/>
  <c r="K264" i="18"/>
  <c r="X14" i="20" s="1"/>
  <c r="T14" i="20"/>
  <c r="K140" i="18" a="1"/>
  <c r="K140" i="18" s="1"/>
  <c r="I141" i="18" s="1"/>
  <c r="K141" i="18" s="1"/>
  <c r="K114" i="19" a="1"/>
  <c r="K114" i="19" s="1"/>
  <c r="I115" i="19" s="1"/>
  <c r="K115" i="19" s="1"/>
  <c r="K143" i="18" a="1"/>
  <c r="K143" i="18" s="1"/>
  <c r="K117" i="19" a="1"/>
  <c r="K117" i="19" s="1"/>
  <c r="K141" i="17" a="1"/>
  <c r="K141" i="17" s="1"/>
  <c r="I142" i="17" s="1"/>
  <c r="K142" i="17" s="1"/>
  <c r="K144" i="17" a="1"/>
  <c r="K144" i="17" s="1"/>
  <c r="R14" i="20"/>
  <c r="K265" i="17"/>
  <c r="V14" i="20" s="1"/>
  <c r="K126" i="18" a="1"/>
  <c r="K126" i="18" s="1"/>
  <c r="K123" i="18" a="1"/>
  <c r="K123" i="18" s="1"/>
  <c r="I124" i="18" s="1"/>
  <c r="K124" i="18" s="1"/>
  <c r="K100" i="19" a="1"/>
  <c r="K100" i="19" s="1"/>
  <c r="K97" i="19" a="1"/>
  <c r="K97" i="19" s="1"/>
  <c r="I98" i="19" s="1"/>
  <c r="K98" i="19" s="1"/>
  <c r="K127" i="17" a="1"/>
  <c r="K127" i="17" s="1"/>
  <c r="K124" i="17" a="1"/>
  <c r="K124" i="17" s="1"/>
  <c r="I125" i="17" s="1"/>
  <c r="K125" i="17" s="1"/>
  <c r="K140" i="16" a="1"/>
  <c r="K140" i="16" s="1"/>
  <c r="F271" i="19"/>
  <c r="E271" i="19"/>
  <c r="F273" i="17"/>
  <c r="L21" i="20" s="1"/>
  <c r="L25" i="20"/>
  <c r="F297" i="18"/>
  <c r="N45" i="20" s="1"/>
  <c r="F45" i="20"/>
  <c r="C70" i="18"/>
  <c r="E297" i="18"/>
  <c r="J45" i="20" s="1"/>
  <c r="F283" i="17"/>
  <c r="L30" i="20" s="1"/>
  <c r="E293" i="18"/>
  <c r="J41" i="20" s="1"/>
  <c r="F293" i="18"/>
  <c r="N41" i="20" s="1"/>
  <c r="F294" i="17"/>
  <c r="L41" i="20" s="1"/>
  <c r="E294" i="17"/>
  <c r="H41" i="20" s="1"/>
  <c r="K123" i="16" a="1"/>
  <c r="K123" i="16" s="1"/>
  <c r="K126" i="16" a="1"/>
  <c r="K126" i="16" s="1"/>
  <c r="B24" i="1"/>
  <c r="B63" i="1" s="1"/>
  <c r="B25" i="1"/>
  <c r="B64" i="1" s="1"/>
  <c r="B26" i="1"/>
  <c r="B65" i="1" s="1"/>
  <c r="B27" i="1"/>
  <c r="B66" i="1" s="1"/>
  <c r="B28" i="1"/>
  <c r="B67" i="1" s="1"/>
  <c r="B29" i="1"/>
  <c r="B68" i="1" s="1"/>
  <c r="B30" i="1"/>
  <c r="B69" i="1" s="1"/>
  <c r="B31" i="1"/>
  <c r="B70" i="1" s="1"/>
  <c r="B32" i="1"/>
  <c r="B71" i="1" s="1"/>
  <c r="B33" i="1"/>
  <c r="B72" i="1" s="1"/>
  <c r="B34" i="1"/>
  <c r="B73" i="1" s="1"/>
  <c r="B35" i="1"/>
  <c r="B74" i="1" s="1"/>
  <c r="B36" i="1"/>
  <c r="B75" i="1" s="1"/>
  <c r="B23" i="1"/>
  <c r="B62" i="1" l="1"/>
  <c r="C22" i="19"/>
  <c r="E22" i="19" s="1"/>
  <c r="C49" i="18"/>
  <c r="E49" i="18" s="1"/>
  <c r="C50" i="17"/>
  <c r="E50" i="17" s="1"/>
  <c r="C23" i="19"/>
  <c r="E23" i="19" s="1"/>
  <c r="C49" i="17"/>
  <c r="E49" i="17" s="1"/>
  <c r="C48" i="18"/>
  <c r="E48" i="18" s="1"/>
  <c r="H62" i="16"/>
  <c r="K62" i="16" s="1" a="1"/>
  <c r="K62" i="16" s="1"/>
  <c r="C49" i="16"/>
  <c r="C48" i="16"/>
  <c r="E41" i="16"/>
  <c r="C40" i="16"/>
  <c r="E40" i="16" s="1"/>
  <c r="G25" i="1"/>
  <c r="H61" i="16"/>
  <c r="G23" i="1"/>
  <c r="G24" i="1"/>
  <c r="G26" i="1"/>
  <c r="G27" i="1"/>
  <c r="G28" i="1"/>
  <c r="G29" i="1"/>
  <c r="G30" i="1"/>
  <c r="G31" i="1"/>
  <c r="G32" i="1"/>
  <c r="G33" i="1"/>
  <c r="G34" i="1"/>
  <c r="G35" i="1"/>
  <c r="G36" i="1"/>
  <c r="G106" i="1"/>
  <c r="E106" i="1"/>
  <c r="F421" i="1"/>
  <c r="Q243" i="16" a="1"/>
  <c r="Q243" i="16" s="1"/>
  <c r="Q242" i="16" a="1"/>
  <c r="Q242" i="16" s="1"/>
  <c r="N248" i="16" a="1"/>
  <c r="N248" i="16" s="1"/>
  <c r="F243" i="1"/>
  <c r="G243" i="1"/>
  <c r="E243" i="1"/>
  <c r="F117" i="1"/>
  <c r="Q38" i="19" s="1" a="1"/>
  <c r="Q38" i="19" s="1"/>
  <c r="O40" i="19" s="1"/>
  <c r="Q40" i="19" s="1"/>
  <c r="Q32" i="19" s="1"/>
  <c r="C34" i="19" s="1"/>
  <c r="E34" i="19" s="1"/>
  <c r="D267" i="19" s="1"/>
  <c r="I47" i="16" a="1"/>
  <c r="I47" i="16" s="1"/>
  <c r="K47" i="16" s="1"/>
  <c r="I40" i="16" a="1"/>
  <c r="I40" i="16" s="1"/>
  <c r="K40" i="16" s="1"/>
  <c r="K241" i="16" a="1"/>
  <c r="K241" i="16" s="1"/>
  <c r="K242" i="16" a="1"/>
  <c r="K242" i="16" s="1"/>
  <c r="K239" i="16" a="1"/>
  <c r="K239" i="16" s="1"/>
  <c r="H241" i="16"/>
  <c r="B285" i="16" s="1"/>
  <c r="B33" i="20" s="1"/>
  <c r="H242" i="16"/>
  <c r="B286" i="16" s="1"/>
  <c r="B34" i="20" s="1"/>
  <c r="H239" i="16"/>
  <c r="B283" i="16" s="1"/>
  <c r="B31" i="20" s="1"/>
  <c r="E248" i="16" a="1"/>
  <c r="E248" i="16" s="1"/>
  <c r="B46" i="1"/>
  <c r="B47" i="1"/>
  <c r="B48" i="1"/>
  <c r="B45" i="1"/>
  <c r="AI183" i="16" a="1"/>
  <c r="AI183" i="16" s="1"/>
  <c r="AC183" i="16" a="1"/>
  <c r="AC183" i="16" s="1"/>
  <c r="W183" i="16" a="1"/>
  <c r="W183" i="16" s="1"/>
  <c r="Q183" i="16" a="1"/>
  <c r="Q183" i="16" s="1"/>
  <c r="K183" i="16" a="1"/>
  <c r="K183" i="16" s="1"/>
  <c r="Q118" i="16" a="1"/>
  <c r="Q118" i="16" s="1"/>
  <c r="N17" i="14"/>
  <c r="O17" i="14" s="1"/>
  <c r="N18" i="14"/>
  <c r="O18" i="14" s="1"/>
  <c r="N19" i="14"/>
  <c r="O19" i="14" s="1"/>
  <c r="N20" i="14"/>
  <c r="O20" i="14" s="1"/>
  <c r="N21" i="14"/>
  <c r="O21" i="14" s="1"/>
  <c r="N22" i="14"/>
  <c r="O22" i="14" s="1"/>
  <c r="N23" i="14"/>
  <c r="O23" i="14" s="1"/>
  <c r="N24" i="14"/>
  <c r="O24" i="14" s="1"/>
  <c r="N25" i="14"/>
  <c r="O25" i="14" s="1"/>
  <c r="N26" i="14"/>
  <c r="O26" i="14" s="1"/>
  <c r="N27" i="14"/>
  <c r="O27" i="14" s="1"/>
  <c r="N28" i="14"/>
  <c r="N29" i="14"/>
  <c r="N16" i="14"/>
  <c r="O16" i="14" s="1"/>
  <c r="K29" i="14"/>
  <c r="L6" i="14"/>
  <c r="K28" i="14"/>
  <c r="E50" i="18" l="1"/>
  <c r="E44" i="18" s="1"/>
  <c r="C247" i="18" s="1"/>
  <c r="E247" i="18" s="1"/>
  <c r="E249" i="18" s="1"/>
  <c r="F249" i="18" s="1"/>
  <c r="D280" i="18" s="1"/>
  <c r="E51" i="17"/>
  <c r="E45" i="17" s="1"/>
  <c r="Q261" i="17" s="1"/>
  <c r="E24" i="19"/>
  <c r="E18" i="19" s="1"/>
  <c r="Q234" i="19" s="1"/>
  <c r="P234" i="19" s="1"/>
  <c r="R234" i="19" s="1"/>
  <c r="K36" i="19" a="1"/>
  <c r="K36" i="19" s="1"/>
  <c r="I33" i="19" s="1"/>
  <c r="K33" i="19" s="1"/>
  <c r="C33" i="19" s="1"/>
  <c r="E33" i="19" s="1"/>
  <c r="D266" i="19" s="1"/>
  <c r="K62" i="18" a="1"/>
  <c r="K62" i="18" s="1"/>
  <c r="I59" i="18" s="1"/>
  <c r="K59" i="18" s="1"/>
  <c r="C59" i="18" s="1"/>
  <c r="E59" i="18" s="1"/>
  <c r="D292" i="18" s="1"/>
  <c r="K63" i="17" a="1"/>
  <c r="K63" i="17" s="1"/>
  <c r="I60" i="17" s="1"/>
  <c r="K60" i="17" s="1"/>
  <c r="C60" i="17" s="1"/>
  <c r="E60" i="17" s="1"/>
  <c r="D293" i="17" s="1"/>
  <c r="I41" i="16" a="1"/>
  <c r="I41" i="16" s="1"/>
  <c r="K41" i="16" s="1"/>
  <c r="K42" i="16" s="1"/>
  <c r="I41" i="18" a="1"/>
  <c r="I41" i="18" s="1"/>
  <c r="K41" i="18" s="1"/>
  <c r="K42" i="18" s="1"/>
  <c r="I48" i="18" a="1"/>
  <c r="I48" i="18" s="1"/>
  <c r="K48" i="18" s="1"/>
  <c r="K49" i="18" s="1"/>
  <c r="I42" i="17" a="1"/>
  <c r="I42" i="17" s="1"/>
  <c r="K42" i="17" s="1"/>
  <c r="K43" i="17" s="1"/>
  <c r="I15" i="19" a="1"/>
  <c r="I15" i="19" s="1"/>
  <c r="K15" i="19" s="1"/>
  <c r="K16" i="19" s="1"/>
  <c r="I22" i="19" a="1"/>
  <c r="I22" i="19" s="1"/>
  <c r="K22" i="19" s="1"/>
  <c r="K23" i="19" s="1"/>
  <c r="I49" i="17" a="1"/>
  <c r="I49" i="17" s="1"/>
  <c r="K49" i="17" s="1"/>
  <c r="K50" i="17" s="1"/>
  <c r="Q248" i="16" a="1"/>
  <c r="Q248" i="16" s="1"/>
  <c r="R248" i="16" s="1"/>
  <c r="Q222" i="19" a="1"/>
  <c r="Q222" i="19" s="1"/>
  <c r="F267" i="19"/>
  <c r="E267" i="19"/>
  <c r="E45" i="18"/>
  <c r="Q260" i="18"/>
  <c r="C248" i="17"/>
  <c r="E248" i="17" s="1"/>
  <c r="E250" i="17" s="1"/>
  <c r="F250" i="17" s="1"/>
  <c r="D281" i="17" s="1"/>
  <c r="E46" i="17"/>
  <c r="C221" i="19"/>
  <c r="E221" i="19" s="1"/>
  <c r="E223" i="19" s="1"/>
  <c r="F223" i="19" s="1"/>
  <c r="D254" i="19" s="1"/>
  <c r="E19" i="19"/>
  <c r="L21" i="14"/>
  <c r="L23" i="14"/>
  <c r="L25" i="14"/>
  <c r="L16" i="14"/>
  <c r="L18" i="14"/>
  <c r="O28" i="14"/>
  <c r="O29" i="14"/>
  <c r="D259" i="16"/>
  <c r="E9" i="20" s="1"/>
  <c r="L240" i="16"/>
  <c r="D284" i="16" s="1"/>
  <c r="E32" i="20" s="1"/>
  <c r="E48" i="16"/>
  <c r="L239" i="16"/>
  <c r="D283" i="16" s="1"/>
  <c r="E31" i="20" s="1"/>
  <c r="L242" i="16"/>
  <c r="D286" i="16" s="1"/>
  <c r="E34" i="20" s="1"/>
  <c r="R242" i="16"/>
  <c r="J273" i="16" s="1"/>
  <c r="S23" i="20" s="1"/>
  <c r="L241" i="16"/>
  <c r="D285" i="16" s="1"/>
  <c r="E33" i="20" s="1"/>
  <c r="R243" i="16"/>
  <c r="J276" i="16" s="1"/>
  <c r="S26" i="20" s="1"/>
  <c r="E49" i="16"/>
  <c r="G421" i="1"/>
  <c r="Q248" i="18" s="1" a="1"/>
  <c r="Q248" i="18" s="1"/>
  <c r="E421" i="1"/>
  <c r="Q249" i="17" s="1" a="1"/>
  <c r="Q249" i="17" s="1"/>
  <c r="I48" i="16" a="1"/>
  <c r="I48" i="16" s="1"/>
  <c r="K48" i="16" s="1"/>
  <c r="K49" i="16" s="1"/>
  <c r="L29" i="14"/>
  <c r="K30" i="14"/>
  <c r="L28" i="14"/>
  <c r="K52" i="17" l="1"/>
  <c r="Q259" i="16"/>
  <c r="AG9" i="20" s="1"/>
  <c r="P261" i="17"/>
  <c r="AF10" i="20"/>
  <c r="Q233" i="19"/>
  <c r="P233" i="19" s="1"/>
  <c r="R233" i="19" s="1"/>
  <c r="R222" i="19"/>
  <c r="K25" i="19"/>
  <c r="D28" i="20"/>
  <c r="F281" i="17"/>
  <c r="L28" i="20" s="1"/>
  <c r="E281" i="17"/>
  <c r="H28" i="20" s="1"/>
  <c r="F28" i="20"/>
  <c r="E280" i="18"/>
  <c r="J28" i="20" s="1"/>
  <c r="F280" i="18"/>
  <c r="N28" i="20" s="1"/>
  <c r="D40" i="20"/>
  <c r="E293" i="17"/>
  <c r="H40" i="20" s="1"/>
  <c r="F293" i="17"/>
  <c r="L40" i="20" s="1"/>
  <c r="E254" i="19"/>
  <c r="F254" i="19"/>
  <c r="F40" i="20"/>
  <c r="F292" i="18"/>
  <c r="N40" i="20" s="1"/>
  <c r="E292" i="18"/>
  <c r="J40" i="20" s="1"/>
  <c r="Q260" i="17"/>
  <c r="R249" i="17"/>
  <c r="Q259" i="18"/>
  <c r="R248" i="18"/>
  <c r="AH10" i="20"/>
  <c r="P260" i="18"/>
  <c r="K51" i="18"/>
  <c r="E266" i="19"/>
  <c r="F266" i="19"/>
  <c r="C11" i="14"/>
  <c r="C7" i="14"/>
  <c r="C9" i="14"/>
  <c r="C10" i="14"/>
  <c r="C6" i="14"/>
  <c r="C8" i="14"/>
  <c r="O30" i="14"/>
  <c r="E285" i="16"/>
  <c r="I33" i="20" s="1"/>
  <c r="E284" i="16"/>
  <c r="I32" i="20" s="1"/>
  <c r="E286" i="16"/>
  <c r="I34" i="20" s="1"/>
  <c r="D282" i="16"/>
  <c r="E30" i="20" s="1"/>
  <c r="E283" i="16"/>
  <c r="I31" i="20" s="1"/>
  <c r="E50" i="16"/>
  <c r="K51" i="16"/>
  <c r="M16" i="14"/>
  <c r="M29" i="14"/>
  <c r="M21" i="14"/>
  <c r="M25" i="14"/>
  <c r="M18" i="14"/>
  <c r="M22" i="14"/>
  <c r="M23" i="14"/>
  <c r="M28" i="14"/>
  <c r="B302" i="16"/>
  <c r="B50" i="20" s="1"/>
  <c r="F252" i="1"/>
  <c r="F251" i="1"/>
  <c r="F250" i="1"/>
  <c r="F249" i="1"/>
  <c r="P260" i="17" l="1"/>
  <c r="AF9" i="20"/>
  <c r="P259" i="18"/>
  <c r="AH9" i="20"/>
  <c r="K108" i="19" a="1"/>
  <c r="K108" i="19" s="1"/>
  <c r="K135" i="17" a="1"/>
  <c r="K135" i="17" s="1"/>
  <c r="K134" i="18" a="1"/>
  <c r="K134" i="18" s="1"/>
  <c r="R260" i="18"/>
  <c r="AL10" i="20" s="1"/>
  <c r="AD10" i="20"/>
  <c r="AB10" i="20"/>
  <c r="R261" i="17"/>
  <c r="AJ10" i="20" s="1"/>
  <c r="H11" i="14"/>
  <c r="H7" i="14"/>
  <c r="H9" i="14"/>
  <c r="H10" i="14"/>
  <c r="P20" i="14"/>
  <c r="H8" i="14"/>
  <c r="H6" i="14"/>
  <c r="P18" i="14"/>
  <c r="P22" i="14"/>
  <c r="P29" i="14"/>
  <c r="P21" i="14"/>
  <c r="P24" i="14"/>
  <c r="P27" i="14"/>
  <c r="P23" i="14"/>
  <c r="P19" i="14"/>
  <c r="P28" i="14"/>
  <c r="P16" i="14"/>
  <c r="P25" i="14"/>
  <c r="P17" i="14"/>
  <c r="P26" i="14"/>
  <c r="E282" i="16"/>
  <c r="I30" i="20" s="1"/>
  <c r="E44" i="16"/>
  <c r="M30" i="14"/>
  <c r="P259" i="16"/>
  <c r="AC9" i="20" s="1"/>
  <c r="AF174" i="16"/>
  <c r="AF173" i="16"/>
  <c r="AF172" i="16"/>
  <c r="AF171" i="16"/>
  <c r="Z174" i="16"/>
  <c r="Z173" i="16"/>
  <c r="Z172" i="16"/>
  <c r="Z171" i="16"/>
  <c r="T174" i="16"/>
  <c r="T173" i="16"/>
  <c r="T172" i="16"/>
  <c r="T171" i="16"/>
  <c r="N174" i="16"/>
  <c r="N173" i="16"/>
  <c r="N172" i="16"/>
  <c r="N171" i="16"/>
  <c r="K180" i="16"/>
  <c r="D169" i="16" s="1"/>
  <c r="B173" i="16"/>
  <c r="B269" i="16" s="1"/>
  <c r="B19" i="20" s="1"/>
  <c r="B172" i="16"/>
  <c r="B268" i="16" s="1"/>
  <c r="B18" i="20" s="1"/>
  <c r="B171" i="16"/>
  <c r="B267" i="16" s="1"/>
  <c r="B17" i="20" s="1"/>
  <c r="B170" i="16"/>
  <c r="B266" i="16" s="1"/>
  <c r="B16" i="20" s="1"/>
  <c r="B169" i="16"/>
  <c r="B265" i="16" s="1"/>
  <c r="B15" i="20" s="1"/>
  <c r="Q180" i="16"/>
  <c r="W180" i="16"/>
  <c r="D171" i="16" s="1"/>
  <c r="AC180" i="16"/>
  <c r="D172" i="16" s="1"/>
  <c r="AI180" i="16"/>
  <c r="D173" i="16" s="1"/>
  <c r="AI231" i="16" a="1"/>
  <c r="AI231" i="16" s="1"/>
  <c r="AI230" i="16"/>
  <c r="AI221" i="16" a="1"/>
  <c r="AI221" i="16" s="1"/>
  <c r="AI218" i="16" a="1"/>
  <c r="AI218" i="16" s="1"/>
  <c r="AI217" i="16"/>
  <c r="AI208" i="16" a="1"/>
  <c r="AI208" i="16" s="1"/>
  <c r="AI205" i="16" a="1"/>
  <c r="AI205" i="16" s="1"/>
  <c r="AI204" i="16"/>
  <c r="AI195" i="16" a="1"/>
  <c r="AI195" i="16" s="1"/>
  <c r="AI192" i="16" a="1"/>
  <c r="AI192" i="16" s="1"/>
  <c r="AI191" i="16"/>
  <c r="AF181" i="16"/>
  <c r="AI167" i="16" a="1"/>
  <c r="AI167" i="16" s="1"/>
  <c r="AG169" i="16" s="1"/>
  <c r="AG164" i="16"/>
  <c r="AG163" i="16"/>
  <c r="AG162" i="16"/>
  <c r="AG161" i="16"/>
  <c r="AC231" i="16" a="1"/>
  <c r="AC231" i="16" s="1"/>
  <c r="AC230" i="16"/>
  <c r="AC221" i="16" a="1"/>
  <c r="AC221" i="16" s="1"/>
  <c r="AC218" i="16" a="1"/>
  <c r="AC218" i="16" s="1"/>
  <c r="AC217" i="16"/>
  <c r="AC208" i="16" a="1"/>
  <c r="AC208" i="16" s="1"/>
  <c r="AC205" i="16" a="1"/>
  <c r="AC205" i="16" s="1"/>
  <c r="AC204" i="16"/>
  <c r="AC195" i="16" a="1"/>
  <c r="AC195" i="16" s="1"/>
  <c r="AC192" i="16" a="1"/>
  <c r="AC192" i="16" s="1"/>
  <c r="AC191" i="16"/>
  <c r="Z181" i="16"/>
  <c r="AC167" i="16" a="1"/>
  <c r="AC167" i="16" s="1"/>
  <c r="AA169" i="16" s="1"/>
  <c r="AA164" i="16"/>
  <c r="AA163" i="16"/>
  <c r="AA162" i="16"/>
  <c r="AA161" i="16"/>
  <c r="W231" i="16" a="1"/>
  <c r="W231" i="16" s="1"/>
  <c r="W230" i="16"/>
  <c r="W221" i="16" a="1"/>
  <c r="W221" i="16" s="1"/>
  <c r="W218" i="16" a="1"/>
  <c r="W218" i="16" s="1"/>
  <c r="W217" i="16"/>
  <c r="W208" i="16" a="1"/>
  <c r="W208" i="16" s="1"/>
  <c r="W205" i="16" a="1"/>
  <c r="W205" i="16" s="1"/>
  <c r="W204" i="16"/>
  <c r="W195" i="16" a="1"/>
  <c r="W195" i="16" s="1"/>
  <c r="W192" i="16" a="1"/>
  <c r="W192" i="16" s="1"/>
  <c r="W191" i="16"/>
  <c r="T181" i="16"/>
  <c r="W167" i="16" a="1"/>
  <c r="W167" i="16" s="1"/>
  <c r="U169" i="16" s="1"/>
  <c r="U164" i="16"/>
  <c r="U163" i="16"/>
  <c r="U162" i="16"/>
  <c r="U161" i="16"/>
  <c r="N181" i="16"/>
  <c r="H181" i="16"/>
  <c r="K167" i="16" a="1"/>
  <c r="K167" i="16" s="1"/>
  <c r="I169" i="16" s="1"/>
  <c r="K231" i="16" a="1"/>
  <c r="K231" i="16" s="1"/>
  <c r="K230" i="16"/>
  <c r="K221" i="16" a="1"/>
  <c r="K221" i="16" s="1"/>
  <c r="K218" i="16" a="1"/>
  <c r="K218" i="16" s="1"/>
  <c r="K217" i="16"/>
  <c r="K208" i="16" a="1"/>
  <c r="K208" i="16" s="1"/>
  <c r="K205" i="16" a="1"/>
  <c r="K205" i="16" s="1"/>
  <c r="K204" i="16"/>
  <c r="K195" i="16" a="1"/>
  <c r="K195" i="16" s="1"/>
  <c r="K192" i="16" a="1"/>
  <c r="K192" i="16" s="1"/>
  <c r="K191" i="16"/>
  <c r="H174" i="16"/>
  <c r="H173" i="16"/>
  <c r="H172" i="16"/>
  <c r="H171" i="16"/>
  <c r="I164" i="16"/>
  <c r="I163" i="16"/>
  <c r="I162" i="16"/>
  <c r="I161" i="16"/>
  <c r="Q167" i="16" a="1"/>
  <c r="Q167" i="16" s="1"/>
  <c r="O169" i="16" s="1"/>
  <c r="Q231" i="16" a="1"/>
  <c r="Q231" i="16" s="1"/>
  <c r="Q230" i="16"/>
  <c r="Q221" i="16" a="1"/>
  <c r="Q221" i="16" s="1"/>
  <c r="Q218" i="16" a="1"/>
  <c r="Q218" i="16" s="1"/>
  <c r="Q217" i="16"/>
  <c r="Q208" i="16" a="1"/>
  <c r="Q208" i="16" s="1"/>
  <c r="O164" i="16"/>
  <c r="O163" i="16"/>
  <c r="O162" i="16"/>
  <c r="O161" i="16"/>
  <c r="Q195" i="16" a="1"/>
  <c r="Q195" i="16" s="1"/>
  <c r="Q205" i="16" a="1"/>
  <c r="Q205" i="16" s="1"/>
  <c r="Q204" i="16"/>
  <c r="Q192" i="16" a="1"/>
  <c r="Q192" i="16" s="1"/>
  <c r="Q191" i="16"/>
  <c r="K136" i="18" l="1"/>
  <c r="K135" i="18"/>
  <c r="AD9" i="20"/>
  <c r="R259" i="18"/>
  <c r="AL9" i="20" s="1"/>
  <c r="K136" i="17"/>
  <c r="K137" i="17"/>
  <c r="K109" i="19"/>
  <c r="K110" i="19"/>
  <c r="AB9" i="20"/>
  <c r="R260" i="17"/>
  <c r="AJ9" i="20" s="1"/>
  <c r="P30" i="14"/>
  <c r="E45" i="16"/>
  <c r="Q260" i="16"/>
  <c r="C247" i="16"/>
  <c r="E247" i="16" s="1"/>
  <c r="D170" i="16"/>
  <c r="Q130" i="16" a="1"/>
  <c r="Q130" i="16" s="1"/>
  <c r="Q126" i="16" a="1"/>
  <c r="Q126" i="16" s="1"/>
  <c r="Q125" i="16"/>
  <c r="Q122" i="16" a="1"/>
  <c r="Q122" i="16" s="1"/>
  <c r="Q121" i="16"/>
  <c r="N115" i="16"/>
  <c r="N113" i="16"/>
  <c r="P260" i="16" l="1"/>
  <c r="AC10" i="20" s="1"/>
  <c r="AG10" i="20"/>
  <c r="E249" i="16"/>
  <c r="F249" i="16" s="1"/>
  <c r="D280" i="16" s="1"/>
  <c r="E28" i="20" s="1"/>
  <c r="Q113" i="16" a="1"/>
  <c r="Q113" i="16" s="1"/>
  <c r="Q115" i="16" a="1"/>
  <c r="Q115" i="16" s="1"/>
  <c r="K151" i="16" a="1"/>
  <c r="K151" i="16" s="1"/>
  <c r="K134" i="16" a="1"/>
  <c r="K134" i="16" s="1"/>
  <c r="H111" i="16" a="1"/>
  <c r="B141" i="1"/>
  <c r="B143" i="1"/>
  <c r="B144" i="1"/>
  <c r="B145" i="1"/>
  <c r="B140" i="1"/>
  <c r="H68" i="16"/>
  <c r="K68" i="16" s="1" a="1"/>
  <c r="K68" i="16" s="1"/>
  <c r="H67" i="16"/>
  <c r="K67" i="16" s="1" a="1"/>
  <c r="K67" i="16" s="1"/>
  <c r="H66" i="16"/>
  <c r="K66" i="16" s="1" a="1"/>
  <c r="K66" i="16" s="1"/>
  <c r="H65" i="16"/>
  <c r="K65" i="16" s="1" a="1"/>
  <c r="K65" i="16" s="1"/>
  <c r="E243" i="16" a="1"/>
  <c r="E243" i="16" s="1"/>
  <c r="F243" i="16" s="1"/>
  <c r="Q241" i="16" a="1"/>
  <c r="Q241" i="16" s="1"/>
  <c r="R241" i="16" s="1"/>
  <c r="E241" i="16" a="1"/>
  <c r="E241" i="16" s="1"/>
  <c r="F241" i="16" s="1"/>
  <c r="Q240" i="16" a="1"/>
  <c r="Q240" i="16" s="1"/>
  <c r="R240" i="16" s="1"/>
  <c r="E240" i="16" a="1"/>
  <c r="E240" i="16" s="1"/>
  <c r="F240" i="16" s="1"/>
  <c r="Q239" i="16" a="1"/>
  <c r="Q239" i="16" s="1"/>
  <c r="R239" i="16" s="1"/>
  <c r="E239" i="16" a="1"/>
  <c r="E239" i="16" s="1"/>
  <c r="F239" i="16" s="1"/>
  <c r="D273" i="16" s="1"/>
  <c r="E22" i="20" s="1"/>
  <c r="K149" i="16" a="1"/>
  <c r="K149" i="16" s="1"/>
  <c r="H148" i="16"/>
  <c r="B117" i="16" s="1"/>
  <c r="H146" i="16"/>
  <c r="H142" i="16"/>
  <c r="K139" i="16" a="1"/>
  <c r="K139" i="16" s="1"/>
  <c r="I141" i="16" s="1"/>
  <c r="K141" i="16" s="1"/>
  <c r="B116" i="16"/>
  <c r="K132" i="16" a="1"/>
  <c r="K132" i="16" s="1"/>
  <c r="H131" i="16"/>
  <c r="B115" i="16" s="1"/>
  <c r="K130" i="16" a="1"/>
  <c r="K130" i="16" s="1"/>
  <c r="H129" i="16"/>
  <c r="H125" i="16"/>
  <c r="K122" i="16" a="1"/>
  <c r="K122" i="16" s="1"/>
  <c r="I124" i="16" s="1"/>
  <c r="K124" i="16" s="1"/>
  <c r="B114" i="16"/>
  <c r="N94" i="16" a="1"/>
  <c r="N94" i="16" s="1"/>
  <c r="B64" i="16" s="1"/>
  <c r="B297" i="16" s="1"/>
  <c r="B45" i="20" s="1"/>
  <c r="H93" i="16" a="1"/>
  <c r="N81" i="16" a="1"/>
  <c r="Q83" i="16" s="1" a="1"/>
  <c r="Q83" i="16" s="1"/>
  <c r="N76" i="16" a="1"/>
  <c r="Q79" i="16" s="1" a="1"/>
  <c r="Q79" i="16" s="1"/>
  <c r="H74" i="16" a="1"/>
  <c r="K90" i="16" s="1" a="1"/>
  <c r="K90" i="16" s="1"/>
  <c r="N58" i="16" a="1"/>
  <c r="B59" i="16"/>
  <c r="B292" i="16" s="1"/>
  <c r="B40" i="20" s="1"/>
  <c r="B17" i="14"/>
  <c r="B18" i="14"/>
  <c r="B19" i="14"/>
  <c r="B20" i="14"/>
  <c r="B21" i="14"/>
  <c r="B22" i="14"/>
  <c r="B23" i="14"/>
  <c r="B24" i="14"/>
  <c r="B25" i="14"/>
  <c r="B26" i="14"/>
  <c r="B27" i="14"/>
  <c r="B28" i="14"/>
  <c r="B29" i="14"/>
  <c r="B16" i="14"/>
  <c r="K83" i="16" l="1" a="1"/>
  <c r="K83" i="16" s="1"/>
  <c r="K89" i="16" a="1"/>
  <c r="K89" i="16" s="1"/>
  <c r="K88" i="16" a="1"/>
  <c r="K88" i="16" s="1"/>
  <c r="E280" i="16"/>
  <c r="I28" i="20" s="1"/>
  <c r="K97" i="16" a="1"/>
  <c r="K97" i="16" s="1"/>
  <c r="K94" i="16" a="1"/>
  <c r="K94" i="16" s="1"/>
  <c r="Q62" i="16" a="1"/>
  <c r="Q62" i="16" s="1"/>
  <c r="Q61" i="16" a="1"/>
  <c r="Q61" i="16" s="1"/>
  <c r="Q181" i="16" a="1"/>
  <c r="Q181" i="16" s="1"/>
  <c r="Q182" i="16" s="1"/>
  <c r="AI181" i="16" a="1"/>
  <c r="AI181" i="16" s="1"/>
  <c r="AI182" i="16" s="1"/>
  <c r="K181" i="16" a="1"/>
  <c r="K181" i="16" s="1"/>
  <c r="K182" i="16" s="1"/>
  <c r="AC181" i="16" a="1"/>
  <c r="AC181" i="16" s="1"/>
  <c r="AC182" i="16" s="1"/>
  <c r="W181" i="16" a="1"/>
  <c r="W181" i="16" s="1"/>
  <c r="W182" i="16" s="1"/>
  <c r="K135" i="16"/>
  <c r="E242" i="16" a="1"/>
  <c r="E242" i="16" s="1"/>
  <c r="I69" i="16"/>
  <c r="K69" i="16" s="1"/>
  <c r="I71" i="16" s="1"/>
  <c r="K71" i="16" s="1"/>
  <c r="K153" i="16"/>
  <c r="Q69" i="16" a="1"/>
  <c r="Q69" i="16" s="1"/>
  <c r="J267" i="16"/>
  <c r="D277" i="16"/>
  <c r="E273" i="16"/>
  <c r="I22" i="20" s="1"/>
  <c r="D275" i="16"/>
  <c r="J264" i="16"/>
  <c r="J270" i="16"/>
  <c r="D274" i="16"/>
  <c r="E23" i="20" s="1"/>
  <c r="H111" i="16"/>
  <c r="B111" i="16"/>
  <c r="B110" i="16"/>
  <c r="K136" i="16"/>
  <c r="K112" i="16" a="1"/>
  <c r="K112" i="16" s="1"/>
  <c r="O112" i="16" s="1"/>
  <c r="K114" i="16" a="1"/>
  <c r="K114" i="16" s="1"/>
  <c r="K115" i="16" a="1"/>
  <c r="K115" i="16" s="1"/>
  <c r="Q96" i="16" a="1"/>
  <c r="Q96" i="16" s="1"/>
  <c r="Q98" i="16" a="1"/>
  <c r="Q98" i="16" s="1"/>
  <c r="Q73" i="16" a="1"/>
  <c r="Q73" i="16" s="1"/>
  <c r="Q70" i="16" a="1"/>
  <c r="Q70" i="16" s="1"/>
  <c r="Q64" i="16" a="1"/>
  <c r="Q64" i="16" s="1"/>
  <c r="Q67" i="16" a="1"/>
  <c r="Q67" i="16" s="1"/>
  <c r="Q68" i="16" a="1"/>
  <c r="Q68" i="16" s="1"/>
  <c r="N58" i="16"/>
  <c r="Q59" i="16" a="1"/>
  <c r="Q59" i="16" s="1"/>
  <c r="Q60" i="16" a="1"/>
  <c r="Q60" i="16" s="1"/>
  <c r="Q65" i="16" a="1"/>
  <c r="Q65" i="16" s="1"/>
  <c r="K86" i="16" a="1"/>
  <c r="K86" i="16" s="1"/>
  <c r="K81" i="16" a="1"/>
  <c r="K81" i="16" s="1"/>
  <c r="K84" i="16" a="1"/>
  <c r="K84" i="16" s="1"/>
  <c r="K102" i="16" a="1"/>
  <c r="K102" i="16" s="1"/>
  <c r="K87" i="16" a="1"/>
  <c r="K87" i="16" s="1"/>
  <c r="K101" i="16" a="1"/>
  <c r="K101" i="16" s="1"/>
  <c r="Q95" i="16" a="1"/>
  <c r="Q95" i="16" s="1"/>
  <c r="Q78" i="16" a="1"/>
  <c r="Q78" i="16" s="1"/>
  <c r="I70" i="16"/>
  <c r="K70" i="16" s="1"/>
  <c r="I59" i="16" s="1"/>
  <c r="H93" i="16"/>
  <c r="K93" i="16" s="1" a="1"/>
  <c r="K93" i="16" s="1"/>
  <c r="N76" i="16"/>
  <c r="B61" i="16" s="1"/>
  <c r="B294" i="16" s="1"/>
  <c r="B42" i="20" s="1"/>
  <c r="Q77" i="16" a="1"/>
  <c r="Q77" i="16" s="1"/>
  <c r="K99" i="16" a="1"/>
  <c r="K99" i="16" s="1"/>
  <c r="K98" i="16" a="1"/>
  <c r="K98" i="16" s="1"/>
  <c r="H74" i="16"/>
  <c r="K75" i="16" a="1"/>
  <c r="K75" i="16" s="1"/>
  <c r="K77" i="16" a="1"/>
  <c r="K77" i="16" s="1"/>
  <c r="Q82" i="16" a="1"/>
  <c r="Q82" i="16" s="1"/>
  <c r="Q81" i="16" s="1"/>
  <c r="K95" i="16" a="1"/>
  <c r="K95" i="16" s="1"/>
  <c r="I96" i="16" s="1"/>
  <c r="K96" i="16" s="1"/>
  <c r="K78" i="16" a="1"/>
  <c r="K78" i="16" s="1"/>
  <c r="K80" i="16" a="1"/>
  <c r="K80" i="16" s="1"/>
  <c r="N81" i="16"/>
  <c r="B62" i="16" s="1"/>
  <c r="B295" i="16" s="1"/>
  <c r="B43" i="20" s="1"/>
  <c r="B305" i="1"/>
  <c r="B306" i="1"/>
  <c r="B307" i="1"/>
  <c r="B308" i="1"/>
  <c r="B309" i="1"/>
  <c r="B310" i="1"/>
  <c r="B311" i="1"/>
  <c r="B312" i="1"/>
  <c r="B313" i="1"/>
  <c r="B314" i="1"/>
  <c r="B304" i="1"/>
  <c r="I85" i="16" l="1"/>
  <c r="K85" i="16" s="1"/>
  <c r="I82" i="16"/>
  <c r="K82" i="16" s="1"/>
  <c r="K270" i="16"/>
  <c r="W20" i="20" s="1"/>
  <c r="S20" i="20"/>
  <c r="E277" i="16"/>
  <c r="I26" i="20" s="1"/>
  <c r="E26" i="20"/>
  <c r="K264" i="16"/>
  <c r="W14" i="20" s="1"/>
  <c r="S14" i="20"/>
  <c r="K267" i="16"/>
  <c r="W17" i="20" s="1"/>
  <c r="S17" i="20"/>
  <c r="E275" i="16"/>
  <c r="I24" i="20" s="1"/>
  <c r="E24" i="20"/>
  <c r="O63" i="16"/>
  <c r="Q63" i="16" s="1"/>
  <c r="F242" i="16"/>
  <c r="D276" i="16" s="1"/>
  <c r="K276" i="16"/>
  <c r="W26" i="20" s="1"/>
  <c r="K273" i="16"/>
  <c r="W23" i="20" s="1"/>
  <c r="E274" i="16"/>
  <c r="I23" i="20" s="1"/>
  <c r="K59" i="16"/>
  <c r="C59" i="16" s="1"/>
  <c r="E59" i="16" s="1"/>
  <c r="B60" i="16"/>
  <c r="B293" i="16" s="1"/>
  <c r="B41" i="20" s="1"/>
  <c r="Q112" i="16"/>
  <c r="I116" i="16"/>
  <c r="K116" i="16" s="1"/>
  <c r="L7" i="14" s="1"/>
  <c r="L22" i="14" s="1"/>
  <c r="L30" i="14" s="1"/>
  <c r="C62" i="16"/>
  <c r="E62" i="16" s="1"/>
  <c r="O66" i="16"/>
  <c r="Q66" i="16" s="1"/>
  <c r="O71" i="16"/>
  <c r="Q71" i="16" s="1"/>
  <c r="Q72" i="16" a="1"/>
  <c r="Q72" i="16" s="1"/>
  <c r="O74" i="16" s="1"/>
  <c r="Q74" i="16" s="1"/>
  <c r="I76" i="16"/>
  <c r="I100" i="16"/>
  <c r="K100" i="16" s="1"/>
  <c r="K92" i="16" s="1"/>
  <c r="C69" i="16" s="1"/>
  <c r="E69" i="16" s="1"/>
  <c r="I79" i="16"/>
  <c r="K79" i="16" s="1"/>
  <c r="Q76" i="16"/>
  <c r="C61" i="16" s="1"/>
  <c r="E61" i="16" s="1"/>
  <c r="G236" i="1"/>
  <c r="F236" i="1"/>
  <c r="E236" i="1"/>
  <c r="G259" i="1"/>
  <c r="E259" i="1"/>
  <c r="F259" i="1"/>
  <c r="K76" i="16" l="1"/>
  <c r="K73" i="16" s="1"/>
  <c r="E276" i="16"/>
  <c r="I25" i="20" s="1"/>
  <c r="E25" i="20"/>
  <c r="E6" i="14"/>
  <c r="G6" i="14" s="1"/>
  <c r="E11" i="14"/>
  <c r="G11" i="14" s="1"/>
  <c r="E9" i="14"/>
  <c r="G9" i="14" s="1"/>
  <c r="E7" i="14"/>
  <c r="G7" i="14" s="1"/>
  <c r="E10" i="14"/>
  <c r="G10" i="14" s="1"/>
  <c r="E8" i="14"/>
  <c r="G8" i="14" s="1"/>
  <c r="D272" i="16"/>
  <c r="E21" i="20" s="1"/>
  <c r="D292" i="16"/>
  <c r="E40" i="20" s="1"/>
  <c r="K147" i="16" a="1"/>
  <c r="K147" i="16" s="1"/>
  <c r="Q114" i="16"/>
  <c r="Q116" i="16"/>
  <c r="O99" i="16"/>
  <c r="Q99" i="16" s="1"/>
  <c r="D295" i="16"/>
  <c r="K113" i="16"/>
  <c r="C111" i="16"/>
  <c r="E111" i="16" s="1"/>
  <c r="Q58" i="16"/>
  <c r="D294" i="16"/>
  <c r="B301" i="1"/>
  <c r="B302" i="1"/>
  <c r="B303" i="1"/>
  <c r="B315" i="1"/>
  <c r="B339" i="1"/>
  <c r="B340" i="1"/>
  <c r="B341" i="1"/>
  <c r="B342" i="1"/>
  <c r="B343" i="1"/>
  <c r="B344" i="1"/>
  <c r="B345" i="1"/>
  <c r="B365" i="1"/>
  <c r="B366" i="1"/>
  <c r="B367" i="1"/>
  <c r="B369" i="1"/>
  <c r="B370" i="1"/>
  <c r="B371" i="1"/>
  <c r="B372" i="1"/>
  <c r="B373" i="1"/>
  <c r="B374" i="1"/>
  <c r="B375" i="1"/>
  <c r="B376" i="1"/>
  <c r="B377" i="1"/>
  <c r="B378" i="1"/>
  <c r="B379" i="1"/>
  <c r="C69" i="17" l="1"/>
  <c r="O98" i="17"/>
  <c r="Q98" i="17" s="1"/>
  <c r="Q95" i="17" s="1"/>
  <c r="C65" i="17" s="1"/>
  <c r="E65" i="17" s="1"/>
  <c r="D298" i="17" s="1"/>
  <c r="E272" i="16"/>
  <c r="I21" i="20" s="1"/>
  <c r="Q196" i="19" a="1"/>
  <c r="Q196" i="19" s="1"/>
  <c r="AI183" i="19" a="1"/>
  <c r="AI183" i="19" s="1"/>
  <c r="Q222" i="18" a="1"/>
  <c r="Q222" i="18" s="1"/>
  <c r="AI209" i="18" a="1"/>
  <c r="AI209" i="18" s="1"/>
  <c r="K209" i="18" a="1"/>
  <c r="K209" i="18" s="1"/>
  <c r="AC223" i="17" a="1"/>
  <c r="AC223" i="17" s="1"/>
  <c r="W210" i="17" a="1"/>
  <c r="W210" i="17" s="1"/>
  <c r="W223" i="17" a="1"/>
  <c r="W223" i="17" s="1"/>
  <c r="Q210" i="17" a="1"/>
  <c r="Q210" i="17" s="1"/>
  <c r="AC222" i="18" a="1"/>
  <c r="AC222" i="18" s="1"/>
  <c r="AI196" i="19" a="1"/>
  <c r="AI196" i="19" s="1"/>
  <c r="K196" i="19" a="1"/>
  <c r="K196" i="19" s="1"/>
  <c r="AC183" i="19" a="1"/>
  <c r="AC183" i="19" s="1"/>
  <c r="K183" i="19" a="1"/>
  <c r="K183" i="19" s="1"/>
  <c r="AI222" i="18" a="1"/>
  <c r="AI222" i="18" s="1"/>
  <c r="K222" i="18" a="1"/>
  <c r="K222" i="18" s="1"/>
  <c r="AC209" i="18" a="1"/>
  <c r="AC209" i="18" s="1"/>
  <c r="W209" i="18" a="1"/>
  <c r="W209" i="18" s="1"/>
  <c r="AC196" i="19" a="1"/>
  <c r="AC196" i="19" s="1"/>
  <c r="W183" i="19" a="1"/>
  <c r="W183" i="19" s="1"/>
  <c r="Q223" i="17" a="1"/>
  <c r="Q223" i="17" s="1"/>
  <c r="AI210" i="17" a="1"/>
  <c r="AI210" i="17" s="1"/>
  <c r="W196" i="19" a="1"/>
  <c r="W196" i="19" s="1"/>
  <c r="Q183" i="19" a="1"/>
  <c r="Q183" i="19" s="1"/>
  <c r="W222" i="18" a="1"/>
  <c r="W222" i="18" s="1"/>
  <c r="Q209" i="18" a="1"/>
  <c r="Q209" i="18" s="1"/>
  <c r="AI223" i="17" a="1"/>
  <c r="AI223" i="17" s="1"/>
  <c r="K223" i="17" a="1"/>
  <c r="K223" i="17" s="1"/>
  <c r="AC210" i="17" a="1"/>
  <c r="AC210" i="17" s="1"/>
  <c r="K210" i="17" a="1"/>
  <c r="K210" i="17" s="1"/>
  <c r="AI170" i="19" a="1"/>
  <c r="AI170" i="19" s="1"/>
  <c r="Q170" i="19" a="1"/>
  <c r="Q170" i="19" s="1"/>
  <c r="AC196" i="18" a="1"/>
  <c r="AC196" i="18" s="1"/>
  <c r="Q131" i="18" a="1"/>
  <c r="Q131" i="18" s="1"/>
  <c r="Q133" i="18" s="1"/>
  <c r="Q134" i="18" s="1"/>
  <c r="Q140" i="18" s="1"/>
  <c r="Q141" i="18" s="1"/>
  <c r="Q197" i="17" a="1"/>
  <c r="Q197" i="17" s="1"/>
  <c r="AI197" i="17" a="1"/>
  <c r="AI197" i="17" s="1"/>
  <c r="K197" i="17" a="1"/>
  <c r="K197" i="17" s="1"/>
  <c r="AC170" i="19" a="1"/>
  <c r="AC170" i="19" s="1"/>
  <c r="K170" i="19" a="1"/>
  <c r="K170" i="19" s="1"/>
  <c r="Q105" i="19" a="1"/>
  <c r="Q105" i="19" s="1"/>
  <c r="Q107" i="19" s="1"/>
  <c r="Q108" i="19" s="1"/>
  <c r="Q114" i="19" s="1"/>
  <c r="Q115" i="19" s="1"/>
  <c r="W196" i="18" a="1"/>
  <c r="W196" i="18" s="1"/>
  <c r="Q196" i="18" a="1"/>
  <c r="Q196" i="18" s="1"/>
  <c r="W170" i="19" a="1"/>
  <c r="W170" i="19" s="1"/>
  <c r="AI196" i="18" a="1"/>
  <c r="AI196" i="18" s="1"/>
  <c r="K196" i="18" a="1"/>
  <c r="K196" i="18" s="1"/>
  <c r="W197" i="17" a="1"/>
  <c r="W197" i="17" s="1"/>
  <c r="Q132" i="17" a="1"/>
  <c r="Q132" i="17" s="1"/>
  <c r="Q134" i="17" s="1"/>
  <c r="Q135" i="17" s="1"/>
  <c r="Q141" i="17" s="1"/>
  <c r="Q142" i="17" s="1"/>
  <c r="AC197" i="17" a="1"/>
  <c r="AC197" i="17" s="1"/>
  <c r="W137" i="19" a="1"/>
  <c r="W137" i="19" s="1"/>
  <c r="K137" i="19" a="1"/>
  <c r="K137" i="19" s="1"/>
  <c r="AC136" i="19" a="1"/>
  <c r="AC136" i="19" s="1"/>
  <c r="AC161" i="19" s="1"/>
  <c r="AI163" i="18" a="1"/>
  <c r="AI163" i="18" s="1"/>
  <c r="W163" i="18" a="1"/>
  <c r="W163" i="18" s="1"/>
  <c r="K163" i="18" a="1"/>
  <c r="K163" i="18" s="1"/>
  <c r="AC162" i="18" a="1"/>
  <c r="AC162" i="18" s="1"/>
  <c r="AC187" i="18" s="1"/>
  <c r="Q162" i="18" a="1"/>
  <c r="Q162" i="18" s="1"/>
  <c r="Q187" i="18" s="1"/>
  <c r="AI161" i="18" a="1"/>
  <c r="AI161" i="18" s="1"/>
  <c r="C173" i="18" s="1"/>
  <c r="W161" i="18" a="1"/>
  <c r="W161" i="18" s="1"/>
  <c r="C171" i="18" s="1"/>
  <c r="K161" i="18" a="1"/>
  <c r="K161" i="18" s="1"/>
  <c r="C169" i="18" s="1"/>
  <c r="AC165" i="17" a="1"/>
  <c r="AC165" i="17" s="1"/>
  <c r="Q165" i="17" a="1"/>
  <c r="Q165" i="17" s="1"/>
  <c r="AI164" i="17" a="1"/>
  <c r="AI164" i="17" s="1"/>
  <c r="W164" i="17" a="1"/>
  <c r="W164" i="17" s="1"/>
  <c r="K164" i="17" a="1"/>
  <c r="K164" i="17" s="1"/>
  <c r="AC163" i="17" a="1"/>
  <c r="AC163" i="17" s="1"/>
  <c r="AC188" i="17" s="1"/>
  <c r="Q163" i="17" a="1"/>
  <c r="Q163" i="17" s="1"/>
  <c r="Q188" i="17" s="1"/>
  <c r="AI162" i="17" a="1"/>
  <c r="AI162" i="17" s="1"/>
  <c r="C174" i="17" s="1"/>
  <c r="Q163" i="18" a="1"/>
  <c r="Q163" i="18" s="1"/>
  <c r="AI165" i="17" a="1"/>
  <c r="AI165" i="17" s="1"/>
  <c r="W165" i="17" a="1"/>
  <c r="W165" i="17" s="1"/>
  <c r="AC164" i="17" a="1"/>
  <c r="AC164" i="17" s="1"/>
  <c r="Q164" i="17" a="1"/>
  <c r="Q164" i="17" s="1"/>
  <c r="AI138" i="19" a="1"/>
  <c r="AI138" i="19" s="1"/>
  <c r="W138" i="19" a="1"/>
  <c r="W138" i="19" s="1"/>
  <c r="K138" i="19" a="1"/>
  <c r="K138" i="19" s="1"/>
  <c r="AC137" i="19" a="1"/>
  <c r="AC137" i="19" s="1"/>
  <c r="Q136" i="19" a="1"/>
  <c r="Q136" i="19" s="1"/>
  <c r="Q161" i="19" s="1"/>
  <c r="AI135" i="19" a="1"/>
  <c r="AI135" i="19" s="1"/>
  <c r="C147" i="19" s="1"/>
  <c r="W135" i="19" a="1"/>
  <c r="W135" i="19" s="1"/>
  <c r="C145" i="19" s="1"/>
  <c r="K135" i="19" a="1"/>
  <c r="K135" i="19" s="1"/>
  <c r="C143" i="19" s="1"/>
  <c r="AI164" i="18" a="1"/>
  <c r="AI164" i="18" s="1"/>
  <c r="W164" i="18" a="1"/>
  <c r="W164" i="18" s="1"/>
  <c r="K164" i="18" a="1"/>
  <c r="K164" i="18" s="1"/>
  <c r="AI162" i="18" a="1"/>
  <c r="AI162" i="18" s="1"/>
  <c r="AI187" i="18" s="1"/>
  <c r="AC161" i="18" a="1"/>
  <c r="AC161" i="18" s="1"/>
  <c r="C172" i="18" s="1"/>
  <c r="W163" i="17" a="1"/>
  <c r="W163" i="17" s="1"/>
  <c r="W188" i="17" s="1"/>
  <c r="Q137" i="19" a="1"/>
  <c r="Q137" i="19" s="1"/>
  <c r="AI136" i="19" a="1"/>
  <c r="AI136" i="19" s="1"/>
  <c r="AI161" i="19" s="1"/>
  <c r="W136" i="19" a="1"/>
  <c r="W136" i="19" s="1"/>
  <c r="W161" i="19" s="1"/>
  <c r="K163" i="17" a="1"/>
  <c r="K163" i="17" s="1"/>
  <c r="K188" i="17" s="1"/>
  <c r="AC138" i="19" a="1"/>
  <c r="AC138" i="19" s="1"/>
  <c r="Q138" i="19" a="1"/>
  <c r="Q138" i="19" s="1"/>
  <c r="AI137" i="19" a="1"/>
  <c r="AI137" i="19" s="1"/>
  <c r="K136" i="19" a="1"/>
  <c r="K136" i="19" s="1"/>
  <c r="K161" i="19" s="1"/>
  <c r="AC135" i="19" a="1"/>
  <c r="AC135" i="19" s="1"/>
  <c r="C146" i="19" s="1"/>
  <c r="Q135" i="19" a="1"/>
  <c r="Q135" i="19" s="1"/>
  <c r="C144" i="19" s="1"/>
  <c r="AC164" i="18" a="1"/>
  <c r="AC164" i="18" s="1"/>
  <c r="Q164" i="18" a="1"/>
  <c r="Q164" i="18" s="1"/>
  <c r="AC162" i="17" a="1"/>
  <c r="AC162" i="17" s="1"/>
  <c r="C173" i="17" s="1"/>
  <c r="Q162" i="17" a="1"/>
  <c r="Q162" i="17" s="1"/>
  <c r="C171" i="17" s="1"/>
  <c r="W162" i="17" a="1"/>
  <c r="W162" i="17" s="1"/>
  <c r="C172" i="17" s="1"/>
  <c r="K162" i="17" a="1"/>
  <c r="K162" i="17" s="1"/>
  <c r="C170" i="17" s="1"/>
  <c r="AC163" i="18" a="1"/>
  <c r="AC163" i="18" s="1"/>
  <c r="W162" i="18" a="1"/>
  <c r="W162" i="18" s="1"/>
  <c r="W187" i="18" s="1"/>
  <c r="K162" i="18" a="1"/>
  <c r="K162" i="18" s="1"/>
  <c r="K187" i="18" s="1"/>
  <c r="Q161" i="18" a="1"/>
  <c r="Q161" i="18" s="1"/>
  <c r="C170" i="18" s="1"/>
  <c r="K165" i="17" a="1"/>
  <c r="K165" i="17" s="1"/>
  <c r="AI163" i="17" a="1"/>
  <c r="AI163" i="17" s="1"/>
  <c r="AI188" i="17" s="1"/>
  <c r="E294" i="16"/>
  <c r="I42" i="20" s="1"/>
  <c r="E42" i="20"/>
  <c r="E295" i="16"/>
  <c r="I43" i="20" s="1"/>
  <c r="E43" i="20"/>
  <c r="O97" i="16"/>
  <c r="Q97" i="16" s="1"/>
  <c r="Q94" i="16" s="1"/>
  <c r="C64" i="16" s="1"/>
  <c r="E64" i="16" s="1"/>
  <c r="C68" i="16"/>
  <c r="E292" i="16"/>
  <c r="I40" i="20" s="1"/>
  <c r="K152" i="16"/>
  <c r="E117" i="16"/>
  <c r="C117" i="16" s="1"/>
  <c r="Q196" i="16" a="1"/>
  <c r="Q196" i="16" s="1"/>
  <c r="Q117" i="16"/>
  <c r="Q132" i="16" s="1"/>
  <c r="Q139" i="16" s="1"/>
  <c r="Q123" i="16"/>
  <c r="Q137" i="16" s="1"/>
  <c r="AI196" i="16" a="1"/>
  <c r="AI196" i="16" s="1"/>
  <c r="AC196" i="16" a="1"/>
  <c r="AC196" i="16" s="1"/>
  <c r="W196" i="16" a="1"/>
  <c r="W196" i="16" s="1"/>
  <c r="K196" i="16" a="1"/>
  <c r="K196" i="16" s="1"/>
  <c r="AI161" i="16" a="1"/>
  <c r="AI161" i="16" s="1"/>
  <c r="C173" i="16" s="1"/>
  <c r="AC161" i="16" a="1"/>
  <c r="AC161" i="16" s="1"/>
  <c r="C172" i="16" s="1"/>
  <c r="W161" i="16" a="1"/>
  <c r="W161" i="16" s="1"/>
  <c r="C171" i="16" s="1"/>
  <c r="K164" i="16" a="1"/>
  <c r="K164" i="16" s="1"/>
  <c r="Q164" i="16" a="1"/>
  <c r="Q164" i="16" s="1"/>
  <c r="AI164" i="16" a="1"/>
  <c r="AI164" i="16" s="1"/>
  <c r="AC164" i="16" a="1"/>
  <c r="AC164" i="16" s="1"/>
  <c r="W164" i="16" a="1"/>
  <c r="W164" i="16" s="1"/>
  <c r="K163" i="16" a="1"/>
  <c r="K163" i="16" s="1"/>
  <c r="Q163" i="16" a="1"/>
  <c r="Q163" i="16" s="1"/>
  <c r="AI163" i="16" a="1"/>
  <c r="AI163" i="16" s="1"/>
  <c r="AC163" i="16" a="1"/>
  <c r="AC163" i="16" s="1"/>
  <c r="W163" i="16" a="1"/>
  <c r="W163" i="16" s="1"/>
  <c r="K162" i="16" a="1"/>
  <c r="K162" i="16" s="1"/>
  <c r="K187" i="16" s="1"/>
  <c r="Q162" i="16" a="1"/>
  <c r="Q162" i="16" s="1"/>
  <c r="Q187" i="16" s="1"/>
  <c r="W162" i="16" a="1"/>
  <c r="W162" i="16" s="1"/>
  <c r="W187" i="16" s="1"/>
  <c r="AI162" i="16" a="1"/>
  <c r="AI162" i="16" s="1"/>
  <c r="AI187" i="16" s="1"/>
  <c r="AC162" i="16" a="1"/>
  <c r="AC162" i="16" s="1"/>
  <c r="AC187" i="16" s="1"/>
  <c r="K161" i="16" a="1"/>
  <c r="K161" i="16" s="1"/>
  <c r="C169" i="16" s="1"/>
  <c r="Q161" i="16" a="1"/>
  <c r="Q161" i="16" s="1"/>
  <c r="C170" i="16" s="1"/>
  <c r="AI209" i="16" a="1"/>
  <c r="AI209" i="16" s="1"/>
  <c r="AC209" i="16" a="1"/>
  <c r="AC209" i="16" s="1"/>
  <c r="W209" i="16" a="1"/>
  <c r="W209" i="16" s="1"/>
  <c r="AI222" i="16" a="1"/>
  <c r="AI222" i="16" s="1"/>
  <c r="AC222" i="16" a="1"/>
  <c r="AC222" i="16" s="1"/>
  <c r="W222" i="16" a="1"/>
  <c r="W222" i="16" s="1"/>
  <c r="Q209" i="16" a="1"/>
  <c r="Q209" i="16" s="1"/>
  <c r="K222" i="16" a="1"/>
  <c r="K222" i="16" s="1"/>
  <c r="K209" i="16" a="1"/>
  <c r="K209" i="16" s="1"/>
  <c r="Q222" i="16" a="1"/>
  <c r="Q222" i="16" s="1"/>
  <c r="Q127" i="16"/>
  <c r="Q138" i="16" s="1"/>
  <c r="C162" i="16"/>
  <c r="Q131" i="16" a="1"/>
  <c r="Q131" i="16" s="1"/>
  <c r="C110" i="16"/>
  <c r="E110" i="16" s="1"/>
  <c r="C60" i="16"/>
  <c r="E60" i="16" s="1"/>
  <c r="D45" i="20" l="1"/>
  <c r="F298" i="17"/>
  <c r="L45" i="20" s="1"/>
  <c r="E298" i="17"/>
  <c r="H45" i="20" s="1"/>
  <c r="C71" i="17"/>
  <c r="E69" i="17"/>
  <c r="E71" i="17" s="1"/>
  <c r="AI189" i="17"/>
  <c r="AI190" i="17" s="1"/>
  <c r="AI194" i="17"/>
  <c r="AI200" i="17"/>
  <c r="AI199" i="17"/>
  <c r="AI203" i="17" s="1"/>
  <c r="W189" i="18"/>
  <c r="W188" i="18"/>
  <c r="W199" i="18"/>
  <c r="W193" i="18"/>
  <c r="W198" i="18"/>
  <c r="W202" i="18" s="1"/>
  <c r="AI163" i="19"/>
  <c r="AI173" i="19"/>
  <c r="AI162" i="19"/>
  <c r="AI167" i="19"/>
  <c r="AI172" i="19"/>
  <c r="AI176" i="19" s="1"/>
  <c r="AI189" i="18"/>
  <c r="AI198" i="18"/>
  <c r="AI202" i="18" s="1"/>
  <c r="AI188" i="18"/>
  <c r="AI199" i="18"/>
  <c r="AI193" i="18"/>
  <c r="D136" i="19"/>
  <c r="D135" i="19"/>
  <c r="Q188" i="18"/>
  <c r="Q198" i="18" s="1"/>
  <c r="Q202" i="18" s="1"/>
  <c r="Q193" i="18"/>
  <c r="Q116" i="19"/>
  <c r="E92" i="19"/>
  <c r="D162" i="18"/>
  <c r="D161" i="18"/>
  <c r="AC188" i="18"/>
  <c r="AC198" i="18" s="1"/>
  <c r="AC202" i="18" s="1"/>
  <c r="AC193" i="18"/>
  <c r="AC167" i="19"/>
  <c r="AC162" i="19"/>
  <c r="AC163" i="19" s="1"/>
  <c r="AC171" i="19" s="1"/>
  <c r="AC145" i="19" s="1"/>
  <c r="AC172" i="19"/>
  <c r="AC176" i="19" s="1"/>
  <c r="E119" i="17"/>
  <c r="Q143" i="17"/>
  <c r="D163" i="17"/>
  <c r="D162" i="17"/>
  <c r="D164" i="17" s="1"/>
  <c r="K167" i="19"/>
  <c r="K172" i="19"/>
  <c r="K176" i="19" s="1"/>
  <c r="K163" i="19"/>
  <c r="K173" i="19"/>
  <c r="K162" i="19"/>
  <c r="K190" i="17"/>
  <c r="K199" i="17"/>
  <c r="K203" i="17" s="1"/>
  <c r="K194" i="17"/>
  <c r="K200" i="17"/>
  <c r="K189" i="17"/>
  <c r="W190" i="17"/>
  <c r="W189" i="17"/>
  <c r="W194" i="17"/>
  <c r="W199" i="17"/>
  <c r="W203" i="17" s="1"/>
  <c r="W200" i="17"/>
  <c r="Q189" i="17"/>
  <c r="Q190" i="17" s="1"/>
  <c r="Q198" i="17" s="1"/>
  <c r="Q172" i="17" s="1"/>
  <c r="Q194" i="17"/>
  <c r="Q142" i="18"/>
  <c r="E118" i="18"/>
  <c r="K199" i="18"/>
  <c r="K198" i="18"/>
  <c r="K202" i="18" s="1"/>
  <c r="K188" i="18"/>
  <c r="K193" i="18"/>
  <c r="K189" i="18"/>
  <c r="W172" i="19"/>
  <c r="W176" i="19" s="1"/>
  <c r="W167" i="19"/>
  <c r="W173" i="19"/>
  <c r="W163" i="19"/>
  <c r="W162" i="19"/>
  <c r="Q167" i="19"/>
  <c r="Q162" i="19"/>
  <c r="Q163" i="19" s="1"/>
  <c r="Q171" i="19" s="1"/>
  <c r="Q145" i="19" s="1"/>
  <c r="AC189" i="17"/>
  <c r="AC199" i="17" s="1"/>
  <c r="AC203" i="17" s="1"/>
  <c r="AC194" i="17"/>
  <c r="C70" i="16"/>
  <c r="E68" i="16"/>
  <c r="E70" i="16" s="1"/>
  <c r="D161" i="16"/>
  <c r="E115" i="16"/>
  <c r="C115" i="16" s="1"/>
  <c r="D162" i="16"/>
  <c r="D260" i="16"/>
  <c r="AC188" i="16"/>
  <c r="AC198" i="16" s="1"/>
  <c r="AC202" i="16" s="1"/>
  <c r="AC193" i="16"/>
  <c r="K188" i="16"/>
  <c r="K193" i="16"/>
  <c r="AI193" i="16"/>
  <c r="AI198" i="16"/>
  <c r="AI202" i="16" s="1"/>
  <c r="AI211" i="16" s="1"/>
  <c r="AI188" i="16"/>
  <c r="AI189" i="16" s="1"/>
  <c r="W199" i="16"/>
  <c r="W198" i="16"/>
  <c r="W202" i="16" s="1"/>
  <c r="W211" i="16" s="1"/>
  <c r="W188" i="16"/>
  <c r="W189" i="16" s="1"/>
  <c r="W197" i="16" s="1"/>
  <c r="W171" i="16" s="1"/>
  <c r="W193" i="16"/>
  <c r="Q193" i="16"/>
  <c r="Q188" i="16"/>
  <c r="Q189" i="16" s="1"/>
  <c r="Q197" i="16" s="1"/>
  <c r="Q171" i="16" s="1"/>
  <c r="AI197" i="16"/>
  <c r="AI171" i="16" s="1"/>
  <c r="D297" i="16"/>
  <c r="Q133" i="16"/>
  <c r="Q134" i="16" s="1"/>
  <c r="Q140" i="16" s="1"/>
  <c r="Q141" i="16" s="1"/>
  <c r="D293" i="16"/>
  <c r="C161" i="16"/>
  <c r="C163" i="16" s="1"/>
  <c r="AI199" i="16" l="1"/>
  <c r="D137" i="19"/>
  <c r="D163" i="18"/>
  <c r="AC199" i="18"/>
  <c r="Q199" i="18"/>
  <c r="AC189" i="18"/>
  <c r="AC197" i="18" s="1"/>
  <c r="AC171" i="18" s="1"/>
  <c r="Q189" i="18"/>
  <c r="Q197" i="18" s="1"/>
  <c r="Q171" i="18" s="1"/>
  <c r="Q172" i="19"/>
  <c r="Q176" i="19" s="1"/>
  <c r="Q185" i="19" s="1"/>
  <c r="AC173" i="19"/>
  <c r="AC200" i="17"/>
  <c r="W185" i="19"/>
  <c r="W186" i="19" s="1"/>
  <c r="W148" i="19" s="1"/>
  <c r="W184" i="19"/>
  <c r="W146" i="19" s="1"/>
  <c r="W180" i="19"/>
  <c r="K210" i="18"/>
  <c r="K172" i="18" s="1"/>
  <c r="K206" i="18"/>
  <c r="K211" i="18"/>
  <c r="K211" i="17"/>
  <c r="K173" i="17" s="1"/>
  <c r="K212" i="17"/>
  <c r="K213" i="17" s="1"/>
  <c r="K175" i="17" s="1"/>
  <c r="K207" i="17"/>
  <c r="AC180" i="19"/>
  <c r="AC184" i="19"/>
  <c r="AC146" i="19" s="1"/>
  <c r="AC185" i="19"/>
  <c r="AC189" i="19" s="1"/>
  <c r="AI211" i="18"/>
  <c r="AI215" i="18" s="1"/>
  <c r="AI210" i="18"/>
  <c r="AI172" i="18" s="1"/>
  <c r="AI206" i="18"/>
  <c r="AI211" i="17"/>
  <c r="AI173" i="17" s="1"/>
  <c r="AI207" i="17"/>
  <c r="AI212" i="17"/>
  <c r="AI216" i="17" s="1"/>
  <c r="AC190" i="17"/>
  <c r="AC198" i="17" s="1"/>
  <c r="AC172" i="17" s="1"/>
  <c r="Q199" i="17"/>
  <c r="Q203" i="17" s="1"/>
  <c r="W207" i="17"/>
  <c r="W212" i="17"/>
  <c r="W211" i="17"/>
  <c r="W173" i="17" s="1"/>
  <c r="K180" i="19"/>
  <c r="K184" i="19"/>
  <c r="K146" i="19" s="1"/>
  <c r="K185" i="19"/>
  <c r="K186" i="19" s="1"/>
  <c r="K148" i="19" s="1"/>
  <c r="D276" i="19"/>
  <c r="C92" i="19"/>
  <c r="C118" i="18"/>
  <c r="D302" i="18"/>
  <c r="C119" i="17"/>
  <c r="D303" i="17"/>
  <c r="AC211" i="18"/>
  <c r="AC215" i="18" s="1"/>
  <c r="AC210" i="18"/>
  <c r="AC172" i="18" s="1"/>
  <c r="AC206" i="18"/>
  <c r="Q210" i="18"/>
  <c r="Q172" i="18" s="1"/>
  <c r="Q211" i="18"/>
  <c r="Q206" i="18"/>
  <c r="AI184" i="19"/>
  <c r="AI146" i="19" s="1"/>
  <c r="AI180" i="19"/>
  <c r="AI185" i="19"/>
  <c r="AI189" i="19" s="1"/>
  <c r="AC212" i="17"/>
  <c r="AC216" i="17" s="1"/>
  <c r="AC211" i="17"/>
  <c r="AC173" i="17" s="1"/>
  <c r="AC207" i="17"/>
  <c r="W211" i="18"/>
  <c r="W210" i="18"/>
  <c r="W172" i="18" s="1"/>
  <c r="W206" i="18"/>
  <c r="E260" i="16"/>
  <c r="I10" i="20" s="1"/>
  <c r="E10" i="20"/>
  <c r="E293" i="16"/>
  <c r="I41" i="20" s="1"/>
  <c r="E41" i="20"/>
  <c r="E297" i="16"/>
  <c r="I45" i="20" s="1"/>
  <c r="E45" i="20"/>
  <c r="R259" i="16"/>
  <c r="AK9" i="20" s="1"/>
  <c r="R260" i="16"/>
  <c r="AK10" i="20" s="1"/>
  <c r="F292" i="16"/>
  <c r="M40" i="20" s="1"/>
  <c r="F285" i="16"/>
  <c r="M33" i="20" s="1"/>
  <c r="F286" i="16"/>
  <c r="M34" i="20" s="1"/>
  <c r="F284" i="16"/>
  <c r="M32" i="20" s="1"/>
  <c r="F283" i="16"/>
  <c r="M31" i="20" s="1"/>
  <c r="F280" i="16"/>
  <c r="M28" i="20" s="1"/>
  <c r="K189" i="16"/>
  <c r="K197" i="16" s="1"/>
  <c r="K171" i="16" s="1"/>
  <c r="D163" i="16"/>
  <c r="D301" i="16"/>
  <c r="F276" i="16"/>
  <c r="M25" i="20" s="1"/>
  <c r="F294" i="16"/>
  <c r="M42" i="20" s="1"/>
  <c r="F273" i="16"/>
  <c r="M22" i="20" s="1"/>
  <c r="F277" i="16"/>
  <c r="M26" i="20" s="1"/>
  <c r="F274" i="16"/>
  <c r="M23" i="20" s="1"/>
  <c r="F297" i="16"/>
  <c r="M45" i="20" s="1"/>
  <c r="F295" i="16"/>
  <c r="M43" i="20" s="1"/>
  <c r="F275" i="16"/>
  <c r="M24" i="20" s="1"/>
  <c r="K198" i="16"/>
  <c r="K202" i="16" s="1"/>
  <c r="K210" i="16" s="1"/>
  <c r="K172" i="16" s="1"/>
  <c r="F293" i="16"/>
  <c r="M41" i="20" s="1"/>
  <c r="AI212" i="16"/>
  <c r="AI215" i="16"/>
  <c r="AI223" i="16" s="1"/>
  <c r="AI173" i="16" s="1"/>
  <c r="AC210" i="16"/>
  <c r="AC172" i="16" s="1"/>
  <c r="AC206" i="16"/>
  <c r="AC211" i="16"/>
  <c r="AC215" i="16" s="1"/>
  <c r="AC223" i="16" s="1"/>
  <c r="AC173" i="16" s="1"/>
  <c r="W212" i="16"/>
  <c r="W215" i="16"/>
  <c r="W223" i="16" s="1"/>
  <c r="W173" i="16" s="1"/>
  <c r="AC199" i="16"/>
  <c r="W210" i="16"/>
  <c r="W172" i="16" s="1"/>
  <c r="W206" i="16"/>
  <c r="Q198" i="16"/>
  <c r="Q202" i="16" s="1"/>
  <c r="Q210" i="16" s="1"/>
  <c r="AI210" i="16"/>
  <c r="AI172" i="16" s="1"/>
  <c r="AI206" i="16"/>
  <c r="AC189" i="16"/>
  <c r="AC197" i="16" s="1"/>
  <c r="AC171" i="16" s="1"/>
  <c r="Q142" i="16"/>
  <c r="E118" i="16"/>
  <c r="AI212" i="18" l="1"/>
  <c r="Q184" i="19"/>
  <c r="Q146" i="19" s="1"/>
  <c r="Q180" i="19"/>
  <c r="Q173" i="19"/>
  <c r="AI198" i="19"/>
  <c r="AI202" i="19" s="1"/>
  <c r="AG146" i="19" s="1"/>
  <c r="AI193" i="19"/>
  <c r="AI197" i="19"/>
  <c r="AI147" i="19" s="1"/>
  <c r="AI213" i="17"/>
  <c r="AC186" i="19"/>
  <c r="Q200" i="17"/>
  <c r="W212" i="18"/>
  <c r="W174" i="18" s="1"/>
  <c r="W228" i="18"/>
  <c r="W215" i="18"/>
  <c r="W223" i="18" s="1"/>
  <c r="W173" i="18" s="1"/>
  <c r="Q215" i="18"/>
  <c r="Q223" i="18" s="1"/>
  <c r="Q173" i="18" s="1"/>
  <c r="Q228" i="18"/>
  <c r="O172" i="18" s="1"/>
  <c r="Q207" i="17"/>
  <c r="Q212" i="17"/>
  <c r="Q211" i="17"/>
  <c r="Q173" i="17" s="1"/>
  <c r="AI224" i="17"/>
  <c r="AI174" i="17" s="1"/>
  <c r="AI220" i="17"/>
  <c r="AI225" i="17"/>
  <c r="AI229" i="17" s="1"/>
  <c r="AC197" i="19"/>
  <c r="AC147" i="19" s="1"/>
  <c r="AC193" i="19"/>
  <c r="AC198" i="19"/>
  <c r="AC202" i="19" s="1"/>
  <c r="AA146" i="19" s="1"/>
  <c r="K212" i="18"/>
  <c r="K174" i="18" s="1"/>
  <c r="K228" i="18"/>
  <c r="K215" i="18"/>
  <c r="K223" i="18" s="1"/>
  <c r="K173" i="18" s="1"/>
  <c r="AC225" i="17"/>
  <c r="AC229" i="17" s="1"/>
  <c r="AA172" i="17" s="1"/>
  <c r="AC224" i="17"/>
  <c r="AC174" i="17" s="1"/>
  <c r="AC220" i="17"/>
  <c r="AC223" i="18"/>
  <c r="AC173" i="18" s="1"/>
  <c r="AC219" i="18"/>
  <c r="AC224" i="18"/>
  <c r="AC228" i="18" s="1"/>
  <c r="F302" i="18"/>
  <c r="N50" i="20" s="1"/>
  <c r="F50" i="20"/>
  <c r="E302" i="18"/>
  <c r="J50" i="20" s="1"/>
  <c r="K216" i="17"/>
  <c r="K224" i="17" s="1"/>
  <c r="K174" i="17" s="1"/>
  <c r="K229" i="17"/>
  <c r="Q186" i="19"/>
  <c r="Q148" i="19" s="1"/>
  <c r="Q202" i="19"/>
  <c r="Q189" i="19"/>
  <c r="Q197" i="19" s="1"/>
  <c r="Q147" i="19" s="1"/>
  <c r="AC213" i="17"/>
  <c r="AI186" i="19"/>
  <c r="Q212" i="18"/>
  <c r="Q174" i="18" s="1"/>
  <c r="AC212" i="18"/>
  <c r="E303" i="17"/>
  <c r="H50" i="20" s="1"/>
  <c r="D50" i="20"/>
  <c r="F303" i="17"/>
  <c r="L50" i="20" s="1"/>
  <c r="F276" i="19"/>
  <c r="E276" i="19"/>
  <c r="K189" i="19"/>
  <c r="K197" i="19" s="1"/>
  <c r="K147" i="19" s="1"/>
  <c r="K202" i="19"/>
  <c r="W213" i="17"/>
  <c r="W175" i="17" s="1"/>
  <c r="W229" i="17"/>
  <c r="W216" i="17"/>
  <c r="W224" i="17" s="1"/>
  <c r="W174" i="17" s="1"/>
  <c r="AI223" i="18"/>
  <c r="AI173" i="18" s="1"/>
  <c r="AI224" i="18"/>
  <c r="AI228" i="18" s="1"/>
  <c r="AG172" i="18" s="1"/>
  <c r="AI219" i="18"/>
  <c r="W202" i="19"/>
  <c r="U146" i="19" s="1"/>
  <c r="W189" i="19"/>
  <c r="W197" i="19" s="1"/>
  <c r="W147" i="19" s="1"/>
  <c r="E301" i="16"/>
  <c r="I49" i="20" s="1"/>
  <c r="E49" i="20"/>
  <c r="F282" i="16"/>
  <c r="M30" i="20" s="1"/>
  <c r="D302" i="16"/>
  <c r="E50" i="20" s="1"/>
  <c r="C118" i="16"/>
  <c r="F301" i="16"/>
  <c r="M49" i="20" s="1"/>
  <c r="F272" i="16"/>
  <c r="M21" i="20" s="1"/>
  <c r="AI219" i="16"/>
  <c r="K199" i="16"/>
  <c r="AI224" i="16"/>
  <c r="AI228" i="16" s="1"/>
  <c r="AG171" i="16" s="1"/>
  <c r="AC224" i="16"/>
  <c r="AC225" i="16" s="1"/>
  <c r="AC219" i="16"/>
  <c r="W224" i="16"/>
  <c r="W225" i="16" s="1"/>
  <c r="W174" i="16" s="1"/>
  <c r="Q199" i="16"/>
  <c r="W219" i="16"/>
  <c r="AC212" i="16"/>
  <c r="K206" i="16"/>
  <c r="K211" i="16"/>
  <c r="K215" i="16" s="1"/>
  <c r="K223" i="16" s="1"/>
  <c r="Q211" i="16"/>
  <c r="Q212" i="16" s="1"/>
  <c r="Q206" i="16"/>
  <c r="Q172" i="16"/>
  <c r="O174" i="18" l="1"/>
  <c r="AC226" i="17"/>
  <c r="AC175" i="17" s="1"/>
  <c r="I173" i="18"/>
  <c r="AA173" i="18"/>
  <c r="U147" i="19"/>
  <c r="I174" i="17"/>
  <c r="AI225" i="18"/>
  <c r="AI174" i="18" s="1"/>
  <c r="AG174" i="18" s="1"/>
  <c r="AC225" i="18"/>
  <c r="AC174" i="18" s="1"/>
  <c r="AC199" i="19"/>
  <c r="AC148" i="19" s="1"/>
  <c r="AA148" i="19" s="1"/>
  <c r="AI226" i="17"/>
  <c r="AI175" i="17" s="1"/>
  <c r="AG175" i="17" s="1"/>
  <c r="U173" i="17"/>
  <c r="W233" i="17"/>
  <c r="W176" i="17" s="1"/>
  <c r="U176" i="17" s="1"/>
  <c r="U172" i="17"/>
  <c r="W170" i="17"/>
  <c r="E172" i="17" s="1"/>
  <c r="O147" i="19"/>
  <c r="I172" i="18"/>
  <c r="K232" i="18"/>
  <c r="K175" i="18" s="1"/>
  <c r="I171" i="18"/>
  <c r="K169" i="18"/>
  <c r="E169" i="18" s="1"/>
  <c r="U173" i="18"/>
  <c r="AI199" i="19"/>
  <c r="AI148" i="19" s="1"/>
  <c r="U145" i="19"/>
  <c r="W143" i="19"/>
  <c r="W206" i="19"/>
  <c r="W149" i="19" s="1"/>
  <c r="U149" i="19" s="1"/>
  <c r="U175" i="17"/>
  <c r="O146" i="19"/>
  <c r="Q206" i="19"/>
  <c r="Q149" i="19" s="1"/>
  <c r="O149" i="19" s="1"/>
  <c r="Q143" i="19"/>
  <c r="O145" i="19"/>
  <c r="I173" i="17"/>
  <c r="K170" i="17"/>
  <c r="E170" i="17" s="1"/>
  <c r="K233" i="17"/>
  <c r="K176" i="17" s="1"/>
  <c r="I172" i="17"/>
  <c r="AC169" i="18"/>
  <c r="E172" i="18" s="1"/>
  <c r="AC232" i="18"/>
  <c r="AC175" i="18" s="1"/>
  <c r="AA175" i="18" s="1"/>
  <c r="AA171" i="18"/>
  <c r="AA174" i="17"/>
  <c r="I174" i="18"/>
  <c r="AA147" i="19"/>
  <c r="AG174" i="17"/>
  <c r="AA172" i="18"/>
  <c r="W232" i="18"/>
  <c r="W175" i="18" s="1"/>
  <c r="U175" i="18" s="1"/>
  <c r="W169" i="18"/>
  <c r="E171" i="18" s="1"/>
  <c r="U171" i="18"/>
  <c r="AG147" i="19"/>
  <c r="AG171" i="18"/>
  <c r="AI232" i="18"/>
  <c r="AI175" i="18" s="1"/>
  <c r="AG175" i="18" s="1"/>
  <c r="AI169" i="18"/>
  <c r="E173" i="18" s="1"/>
  <c r="I146" i="19"/>
  <c r="K143" i="19"/>
  <c r="E143" i="19" s="1"/>
  <c r="I145" i="19"/>
  <c r="K206" i="19"/>
  <c r="K149" i="19" s="1"/>
  <c r="I149" i="19" s="1"/>
  <c r="O148" i="19"/>
  <c r="AA173" i="17"/>
  <c r="AC170" i="17"/>
  <c r="E173" i="17" s="1"/>
  <c r="AC233" i="17"/>
  <c r="AC176" i="17" s="1"/>
  <c r="AA176" i="17" s="1"/>
  <c r="O171" i="18"/>
  <c r="Q169" i="18"/>
  <c r="E170" i="18" s="1"/>
  <c r="Q232" i="18"/>
  <c r="Q175" i="18" s="1"/>
  <c r="O175" i="18" s="1"/>
  <c r="U174" i="18"/>
  <c r="U172" i="18"/>
  <c r="AG173" i="18"/>
  <c r="U174" i="17"/>
  <c r="I147" i="19"/>
  <c r="I148" i="19"/>
  <c r="AC206" i="19"/>
  <c r="AC149" i="19" s="1"/>
  <c r="AA149" i="19" s="1"/>
  <c r="AC143" i="19"/>
  <c r="E146" i="19" s="1"/>
  <c r="AA145" i="19"/>
  <c r="AG173" i="17"/>
  <c r="AI233" i="17"/>
  <c r="AI176" i="17" s="1"/>
  <c r="AG172" i="17"/>
  <c r="AI170" i="17"/>
  <c r="E174" i="17" s="1"/>
  <c r="Q213" i="17"/>
  <c r="Q175" i="17" s="1"/>
  <c r="Q216" i="17"/>
  <c r="Q224" i="17" s="1"/>
  <c r="Q174" i="17" s="1"/>
  <c r="Q229" i="17"/>
  <c r="O173" i="18"/>
  <c r="U148" i="19"/>
  <c r="AG145" i="19"/>
  <c r="AI143" i="19"/>
  <c r="E147" i="19" s="1"/>
  <c r="AI206" i="19"/>
  <c r="AI149" i="19" s="1"/>
  <c r="AG149" i="19" s="1"/>
  <c r="I175" i="17"/>
  <c r="E302" i="16"/>
  <c r="I50" i="20" s="1"/>
  <c r="F302" i="16"/>
  <c r="M50" i="20" s="1"/>
  <c r="AI232" i="16"/>
  <c r="AI175" i="16" s="1"/>
  <c r="AG175" i="16" s="1"/>
  <c r="AI169" i="16"/>
  <c r="E173" i="16" s="1"/>
  <c r="AG173" i="16"/>
  <c r="AG172" i="16"/>
  <c r="AI225" i="16"/>
  <c r="AI174" i="16" s="1"/>
  <c r="AG174" i="16" s="1"/>
  <c r="AC228" i="16"/>
  <c r="AA173" i="16" s="1"/>
  <c r="W228" i="16"/>
  <c r="U173" i="16" s="1"/>
  <c r="AC174" i="16"/>
  <c r="K219" i="16"/>
  <c r="K212" i="16"/>
  <c r="K224" i="16"/>
  <c r="K228" i="16" s="1"/>
  <c r="K232" i="16" s="1"/>
  <c r="Q215" i="16"/>
  <c r="Q223" i="16" s="1"/>
  <c r="Q173" i="16" s="1"/>
  <c r="K173" i="16"/>
  <c r="W176" i="18" l="1"/>
  <c r="Q176" i="18"/>
  <c r="Q177" i="18" s="1"/>
  <c r="F170" i="18" s="1"/>
  <c r="D266" i="18" s="1"/>
  <c r="E266" i="18" s="1"/>
  <c r="J16" i="20" s="1"/>
  <c r="O175" i="17"/>
  <c r="W177" i="18"/>
  <c r="F171" i="18" s="1"/>
  <c r="D267" i="18" s="1"/>
  <c r="F17" i="20" s="1"/>
  <c r="AA150" i="19"/>
  <c r="AA151" i="19" s="1"/>
  <c r="F242" i="19" s="1"/>
  <c r="K150" i="19"/>
  <c r="K151" i="19" s="1"/>
  <c r="F143" i="19" s="1"/>
  <c r="D239" i="19" s="1"/>
  <c r="W150" i="19"/>
  <c r="W151" i="19" s="1"/>
  <c r="F145" i="19" s="1"/>
  <c r="D241" i="19" s="1"/>
  <c r="E241" i="19" s="1"/>
  <c r="AG176" i="18"/>
  <c r="AG177" i="18" s="1"/>
  <c r="F269" i="18" s="1"/>
  <c r="N19" i="20" s="1"/>
  <c r="O174" i="17"/>
  <c r="O173" i="17"/>
  <c r="Q233" i="17"/>
  <c r="Q176" i="17" s="1"/>
  <c r="O176" i="17" s="1"/>
  <c r="Q170" i="17"/>
  <c r="E171" i="17" s="1"/>
  <c r="E175" i="17" s="1"/>
  <c r="O172" i="17"/>
  <c r="O176" i="18"/>
  <c r="O177" i="18" s="1"/>
  <c r="F266" i="18" s="1"/>
  <c r="N16" i="20" s="1"/>
  <c r="AC150" i="19"/>
  <c r="AC151" i="19" s="1"/>
  <c r="F146" i="19" s="1"/>
  <c r="D242" i="19" s="1"/>
  <c r="E242" i="19" s="1"/>
  <c r="I176" i="17"/>
  <c r="I177" i="17" s="1"/>
  <c r="I178" i="17" s="1"/>
  <c r="F266" i="17" s="1"/>
  <c r="L15" i="20" s="1"/>
  <c r="K177" i="17"/>
  <c r="K178" i="17" s="1"/>
  <c r="F170" i="17" s="1"/>
  <c r="E144" i="19"/>
  <c r="AG176" i="17"/>
  <c r="AG177" i="17" s="1"/>
  <c r="AG178" i="17" s="1"/>
  <c r="F270" i="17" s="1"/>
  <c r="L19" i="20" s="1"/>
  <c r="AI177" i="17"/>
  <c r="AI178" i="17" s="1"/>
  <c r="F174" i="17" s="1"/>
  <c r="D270" i="17" s="1"/>
  <c r="O150" i="19"/>
  <c r="O151" i="19" s="1"/>
  <c r="F240" i="19" s="1"/>
  <c r="E145" i="19"/>
  <c r="AA174" i="18"/>
  <c r="AA176" i="18" s="1"/>
  <c r="AA177" i="18" s="1"/>
  <c r="F268" i="18" s="1"/>
  <c r="N18" i="20" s="1"/>
  <c r="AC176" i="18"/>
  <c r="AC177" i="18" s="1"/>
  <c r="F172" i="18" s="1"/>
  <c r="D268" i="18" s="1"/>
  <c r="AA175" i="17"/>
  <c r="AA177" i="17" s="1"/>
  <c r="AA178" i="17" s="1"/>
  <c r="F269" i="17" s="1"/>
  <c r="L18" i="20" s="1"/>
  <c r="AC177" i="17"/>
  <c r="AC178" i="17" s="1"/>
  <c r="F173" i="17" s="1"/>
  <c r="D269" i="17" s="1"/>
  <c r="E174" i="18"/>
  <c r="U150" i="19"/>
  <c r="U151" i="19" s="1"/>
  <c r="F241" i="19" s="1"/>
  <c r="Q150" i="19"/>
  <c r="Q151" i="19" s="1"/>
  <c r="F144" i="19" s="1"/>
  <c r="W177" i="17"/>
  <c r="W178" i="17" s="1"/>
  <c r="F172" i="17" s="1"/>
  <c r="D268" i="17" s="1"/>
  <c r="I150" i="19"/>
  <c r="I151" i="19" s="1"/>
  <c r="F239" i="19" s="1"/>
  <c r="U176" i="18"/>
  <c r="U177" i="18" s="1"/>
  <c r="F267" i="18" s="1"/>
  <c r="N17" i="20" s="1"/>
  <c r="AG148" i="19"/>
  <c r="AG150" i="19" s="1"/>
  <c r="AG151" i="19" s="1"/>
  <c r="F243" i="19" s="1"/>
  <c r="AI150" i="19"/>
  <c r="AI151" i="19" s="1"/>
  <c r="F147" i="19" s="1"/>
  <c r="D243" i="19" s="1"/>
  <c r="E243" i="19" s="1"/>
  <c r="I175" i="18"/>
  <c r="I176" i="18" s="1"/>
  <c r="I177" i="18" s="1"/>
  <c r="F265" i="18" s="1"/>
  <c r="N15" i="20" s="1"/>
  <c r="K176" i="18"/>
  <c r="K177" i="18" s="1"/>
  <c r="F169" i="18" s="1"/>
  <c r="U177" i="17"/>
  <c r="U178" i="17" s="1"/>
  <c r="F268" i="17" s="1"/>
  <c r="L17" i="20" s="1"/>
  <c r="AI176" i="18"/>
  <c r="AI177" i="18" s="1"/>
  <c r="F173" i="18" s="1"/>
  <c r="D269" i="18" s="1"/>
  <c r="AI176" i="16"/>
  <c r="AI177" i="16" s="1"/>
  <c r="F173" i="16" s="1"/>
  <c r="AC169" i="16"/>
  <c r="E172" i="16" s="1"/>
  <c r="AC232" i="16"/>
  <c r="AC175" i="16" s="1"/>
  <c r="AA175" i="16" s="1"/>
  <c r="AA172" i="16"/>
  <c r="AA171" i="16"/>
  <c r="AA174" i="16"/>
  <c r="U172" i="16"/>
  <c r="W169" i="16"/>
  <c r="E171" i="16" s="1"/>
  <c r="W232" i="16"/>
  <c r="W175" i="16" s="1"/>
  <c r="U175" i="16" s="1"/>
  <c r="U174" i="16"/>
  <c r="U171" i="16"/>
  <c r="Q219" i="16"/>
  <c r="Q224" i="16"/>
  <c r="Q225" i="16" s="1"/>
  <c r="Q174" i="16" s="1"/>
  <c r="K175" i="16"/>
  <c r="I175" i="16" s="1"/>
  <c r="I172" i="16"/>
  <c r="K169" i="16"/>
  <c r="E169" i="16" s="1"/>
  <c r="I171" i="16"/>
  <c r="K225" i="16"/>
  <c r="K174" i="16" s="1"/>
  <c r="I174" i="16" s="1"/>
  <c r="I173" i="16"/>
  <c r="AG176" i="16"/>
  <c r="AG177" i="16" s="1"/>
  <c r="F269" i="16" s="1"/>
  <c r="M19" i="20" s="1"/>
  <c r="F16" i="20" l="1"/>
  <c r="E267" i="18"/>
  <c r="J17" i="20" s="1"/>
  <c r="O177" i="17"/>
  <c r="O178" i="17" s="1"/>
  <c r="F267" i="17" s="1"/>
  <c r="L16" i="20" s="1"/>
  <c r="E148" i="19"/>
  <c r="Q177" i="17"/>
  <c r="Q178" i="17" s="1"/>
  <c r="F171" i="17" s="1"/>
  <c r="D267" i="17" s="1"/>
  <c r="E267" i="17" s="1"/>
  <c r="H16" i="20" s="1"/>
  <c r="D240" i="19"/>
  <c r="E240" i="19" s="1"/>
  <c r="F148" i="19"/>
  <c r="E269" i="17"/>
  <c r="H18" i="20" s="1"/>
  <c r="D18" i="20"/>
  <c r="D265" i="18"/>
  <c r="F174" i="18"/>
  <c r="F18" i="20"/>
  <c r="E268" i="18"/>
  <c r="J18" i="20" s="1"/>
  <c r="D19" i="20"/>
  <c r="E270" i="17"/>
  <c r="H19" i="20" s="1"/>
  <c r="D266" i="17"/>
  <c r="F175" i="17"/>
  <c r="E269" i="18"/>
  <c r="J19" i="20" s="1"/>
  <c r="F19" i="20"/>
  <c r="E268" i="17"/>
  <c r="H17" i="20" s="1"/>
  <c r="D17" i="20"/>
  <c r="E239" i="19"/>
  <c r="D269" i="16"/>
  <c r="AA176" i="16"/>
  <c r="AA177" i="16" s="1"/>
  <c r="F268" i="16" s="1"/>
  <c r="M18" i="20" s="1"/>
  <c r="AC176" i="16"/>
  <c r="AC177" i="16" s="1"/>
  <c r="F172" i="16" s="1"/>
  <c r="U176" i="16"/>
  <c r="U177" i="16" s="1"/>
  <c r="F267" i="16" s="1"/>
  <c r="M17" i="20" s="1"/>
  <c r="W176" i="16"/>
  <c r="W177" i="16" s="1"/>
  <c r="F171" i="16" s="1"/>
  <c r="Q228" i="16"/>
  <c r="I176" i="16"/>
  <c r="I177" i="16" s="1"/>
  <c r="F265" i="16" s="1"/>
  <c r="M15" i="20" s="1"/>
  <c r="K176" i="16"/>
  <c r="K177" i="16" s="1"/>
  <c r="D16" i="20" l="1"/>
  <c r="D238" i="19"/>
  <c r="F238" i="19" s="1"/>
  <c r="E238" i="19"/>
  <c r="E236" i="19" s="1"/>
  <c r="F15" i="20"/>
  <c r="D264" i="18"/>
  <c r="E265" i="18"/>
  <c r="D15" i="20"/>
  <c r="E266" i="17"/>
  <c r="D265" i="17"/>
  <c r="E269" i="16"/>
  <c r="I19" i="20" s="1"/>
  <c r="E19" i="20"/>
  <c r="D268" i="16"/>
  <c r="D267" i="16"/>
  <c r="E17" i="20" s="1"/>
  <c r="F169" i="16"/>
  <c r="O173" i="16"/>
  <c r="O171" i="16"/>
  <c r="Q169" i="16"/>
  <c r="E170" i="16" s="1"/>
  <c r="E174" i="16" s="1"/>
  <c r="Q232" i="16"/>
  <c r="Q175" i="16" s="1"/>
  <c r="Q176" i="16" s="1"/>
  <c r="O174" i="16"/>
  <c r="O172" i="16"/>
  <c r="D236" i="19" l="1"/>
  <c r="H15" i="20"/>
  <c r="E265" i="17"/>
  <c r="D14" i="20"/>
  <c r="D263" i="17"/>
  <c r="F265" i="17"/>
  <c r="J15" i="20"/>
  <c r="E264" i="18"/>
  <c r="F236" i="19"/>
  <c r="F14" i="20"/>
  <c r="F264" i="18"/>
  <c r="D262" i="18"/>
  <c r="E268" i="16"/>
  <c r="I18" i="20" s="1"/>
  <c r="E18" i="20"/>
  <c r="E267" i="16"/>
  <c r="I17" i="20" s="1"/>
  <c r="D265" i="16"/>
  <c r="Q177" i="16"/>
  <c r="F170" i="16" s="1"/>
  <c r="O175" i="16"/>
  <c r="O176" i="16" s="1"/>
  <c r="O177" i="16" s="1"/>
  <c r="F266" i="16" s="1"/>
  <c r="M16" i="20" s="1"/>
  <c r="G226" i="1"/>
  <c r="K143" i="17" s="1" a="1"/>
  <c r="K143" i="17" s="1"/>
  <c r="I145" i="17" s="1"/>
  <c r="K145" i="17" s="1"/>
  <c r="K139" i="17" s="1"/>
  <c r="C117" i="17" s="1"/>
  <c r="E117" i="17" s="1"/>
  <c r="F226" i="1"/>
  <c r="K116" i="19" s="1" a="1"/>
  <c r="K116" i="19" s="1"/>
  <c r="I118" i="19" s="1"/>
  <c r="K118" i="19" s="1"/>
  <c r="K112" i="19" s="1"/>
  <c r="C90" i="19" s="1"/>
  <c r="E90" i="19" s="1"/>
  <c r="E226" i="1"/>
  <c r="K142" i="18" s="1" a="1"/>
  <c r="K142" i="18" s="1"/>
  <c r="I144" i="18" s="1"/>
  <c r="K144" i="18" s="1"/>
  <c r="K138" i="18" s="1"/>
  <c r="C116" i="18" s="1"/>
  <c r="E116" i="18" s="1"/>
  <c r="D226" i="1"/>
  <c r="G204" i="1"/>
  <c r="K126" i="17" s="1" a="1"/>
  <c r="K126" i="17" s="1"/>
  <c r="I128" i="17" s="1"/>
  <c r="K128" i="17" s="1"/>
  <c r="K122" i="17" s="1"/>
  <c r="C115" i="17" s="1"/>
  <c r="F204" i="1"/>
  <c r="E204" i="1"/>
  <c r="K125" i="18" s="1" a="1"/>
  <c r="K125" i="18" s="1"/>
  <c r="I127" i="18" s="1"/>
  <c r="K127" i="18" s="1"/>
  <c r="K121" i="18" s="1"/>
  <c r="C114" i="18" s="1"/>
  <c r="D204" i="1"/>
  <c r="B139" i="1"/>
  <c r="E114" i="18" l="1"/>
  <c r="E119" i="18" s="1"/>
  <c r="C119" i="18"/>
  <c r="K125" i="16" a="1"/>
  <c r="K125" i="16" s="1"/>
  <c r="I127" i="16" s="1"/>
  <c r="K127" i="16" s="1"/>
  <c r="K121" i="16" s="1"/>
  <c r="C114" i="16" s="1"/>
  <c r="E114" i="16" s="1"/>
  <c r="K99" i="19" a="1"/>
  <c r="K99" i="19" s="1"/>
  <c r="I101" i="19" s="1"/>
  <c r="K101" i="19" s="1"/>
  <c r="K95" i="19" s="1"/>
  <c r="C88" i="19" s="1"/>
  <c r="F12" i="20"/>
  <c r="J14" i="20"/>
  <c r="E262" i="18"/>
  <c r="D12" i="20"/>
  <c r="N86" i="17" a="1"/>
  <c r="N59" i="19" a="1"/>
  <c r="N85" i="18" a="1"/>
  <c r="E115" i="17"/>
  <c r="C120" i="17"/>
  <c r="N14" i="20"/>
  <c r="F262" i="18"/>
  <c r="D300" i="18"/>
  <c r="H14" i="20"/>
  <c r="E263" i="17"/>
  <c r="L14" i="20"/>
  <c r="F263" i="17"/>
  <c r="E265" i="16"/>
  <c r="I15" i="20" s="1"/>
  <c r="E15" i="20"/>
  <c r="D266" i="16"/>
  <c r="F174" i="16"/>
  <c r="N85" i="16" a="1"/>
  <c r="K142" i="16" a="1"/>
  <c r="K142" i="16" s="1"/>
  <c r="I144" i="16" s="1"/>
  <c r="K144" i="16" s="1"/>
  <c r="K138" i="16" s="1"/>
  <c r="Q65" i="19" l="1" a="1"/>
  <c r="Q65" i="19" s="1"/>
  <c r="Q64" i="19" a="1"/>
  <c r="Q64" i="19" s="1"/>
  <c r="Q61" i="19" a="1"/>
  <c r="Q61" i="19" s="1"/>
  <c r="Q63" i="19" a="1"/>
  <c r="Q63" i="19" s="1"/>
  <c r="Q66" i="19" a="1"/>
  <c r="Q66" i="19" s="1"/>
  <c r="Q62" i="19" a="1"/>
  <c r="Q62" i="19" s="1"/>
  <c r="Q92" i="18" a="1"/>
  <c r="Q92" i="18" s="1"/>
  <c r="Q89" i="18" a="1"/>
  <c r="Q89" i="18" s="1"/>
  <c r="Q88" i="18" a="1"/>
  <c r="Q88" i="18" s="1"/>
  <c r="Q90" i="18" a="1"/>
  <c r="Q90" i="18" s="1"/>
  <c r="Q87" i="18" a="1"/>
  <c r="Q87" i="18" s="1"/>
  <c r="Q91" i="18" a="1"/>
  <c r="Q91" i="18" s="1"/>
  <c r="Q89" i="17" a="1"/>
  <c r="Q89" i="17" s="1"/>
  <c r="Q90" i="17" a="1"/>
  <c r="Q90" i="17" s="1"/>
  <c r="Q92" i="17" a="1"/>
  <c r="Q92" i="17" s="1"/>
  <c r="Q91" i="17" a="1"/>
  <c r="Q91" i="17" s="1"/>
  <c r="Q93" i="17" a="1"/>
  <c r="Q93" i="17" s="1"/>
  <c r="Q88" i="17" a="1"/>
  <c r="Q88" i="17" s="1"/>
  <c r="Q90" i="16" a="1"/>
  <c r="Q90" i="16" s="1"/>
  <c r="Q89" i="16" a="1"/>
  <c r="Q89" i="16" s="1"/>
  <c r="Q91" i="16" a="1"/>
  <c r="Q91" i="16" s="1"/>
  <c r="Q92" i="16" a="1"/>
  <c r="Q92" i="16" s="1"/>
  <c r="Q87" i="16" a="1"/>
  <c r="Q87" i="16" s="1"/>
  <c r="Q88" i="16" a="1"/>
  <c r="Q88" i="16" s="1"/>
  <c r="Q86" i="16" a="1"/>
  <c r="Q86" i="16" s="1"/>
  <c r="H12" i="20"/>
  <c r="Q60" i="19" a="1"/>
  <c r="Q60" i="19" s="1"/>
  <c r="N59" i="19"/>
  <c r="B37" i="19" s="1"/>
  <c r="B270" i="19" s="1"/>
  <c r="J12" i="20"/>
  <c r="E88" i="19"/>
  <c r="C93" i="19"/>
  <c r="N86" i="17"/>
  <c r="B64" i="17" s="1"/>
  <c r="B297" i="17" s="1"/>
  <c r="Q87" i="17" a="1"/>
  <c r="Q87" i="17" s="1"/>
  <c r="L12" i="20"/>
  <c r="F48" i="20"/>
  <c r="E300" i="18"/>
  <c r="F300" i="18"/>
  <c r="D299" i="18"/>
  <c r="F47" i="20" s="1"/>
  <c r="D301" i="17"/>
  <c r="E120" i="17"/>
  <c r="N12" i="20"/>
  <c r="N85" i="18"/>
  <c r="B63" i="18" s="1"/>
  <c r="B296" i="18" s="1"/>
  <c r="Q86" i="18" a="1"/>
  <c r="Q86" i="18" s="1"/>
  <c r="Q85" i="18" s="1"/>
  <c r="D264" i="16"/>
  <c r="E14" i="20" s="1"/>
  <c r="E16" i="20"/>
  <c r="E266" i="16"/>
  <c r="C116" i="16"/>
  <c r="E116" i="16" s="1"/>
  <c r="N85" i="16"/>
  <c r="B63" i="16" s="1"/>
  <c r="B296" i="16" s="1"/>
  <c r="B44" i="20" s="1"/>
  <c r="Q59" i="19" l="1"/>
  <c r="C37" i="19" s="1"/>
  <c r="Q86" i="17"/>
  <c r="C64" i="17" s="1"/>
  <c r="E64" i="17" s="1"/>
  <c r="Q85" i="16"/>
  <c r="C63" i="16" s="1"/>
  <c r="E63" i="16" s="1"/>
  <c r="J48" i="20"/>
  <c r="E299" i="18"/>
  <c r="J47" i="20" s="1"/>
  <c r="D48" i="20"/>
  <c r="E301" i="17"/>
  <c r="F301" i="17"/>
  <c r="D300" i="17"/>
  <c r="D47" i="20" s="1"/>
  <c r="D262" i="16"/>
  <c r="E12" i="20" s="1"/>
  <c r="C63" i="18"/>
  <c r="D274" i="19"/>
  <c r="E93" i="19"/>
  <c r="N48" i="20"/>
  <c r="F299" i="18"/>
  <c r="N47" i="20" s="1"/>
  <c r="F264" i="16"/>
  <c r="M14" i="20" s="1"/>
  <c r="E264" i="16"/>
  <c r="I14" i="20" s="1"/>
  <c r="I16" i="20"/>
  <c r="D300" i="16"/>
  <c r="C119" i="16"/>
  <c r="E119" i="16"/>
  <c r="C66" i="17" l="1"/>
  <c r="E63" i="18"/>
  <c r="C65" i="18"/>
  <c r="F274" i="19"/>
  <c r="F273" i="19" s="1"/>
  <c r="E274" i="19"/>
  <c r="E273" i="19" s="1"/>
  <c r="D273" i="19"/>
  <c r="D297" i="17"/>
  <c r="E66" i="17"/>
  <c r="H48" i="20"/>
  <c r="E300" i="17"/>
  <c r="H47" i="20" s="1"/>
  <c r="L48" i="20"/>
  <c r="F300" i="17"/>
  <c r="L47" i="20" s="1"/>
  <c r="E37" i="19"/>
  <c r="C39" i="19"/>
  <c r="F262" i="16"/>
  <c r="M12" i="20" s="1"/>
  <c r="E300" i="16"/>
  <c r="E48" i="20"/>
  <c r="E262" i="16"/>
  <c r="I12" i="20" s="1"/>
  <c r="D299" i="16"/>
  <c r="E47" i="20" s="1"/>
  <c r="F300" i="16"/>
  <c r="D296" i="16"/>
  <c r="C65" i="16"/>
  <c r="D270" i="19" l="1"/>
  <c r="E39" i="19"/>
  <c r="F297" i="17"/>
  <c r="E297" i="17"/>
  <c r="D292" i="17"/>
  <c r="D44" i="20"/>
  <c r="D296" i="18"/>
  <c r="E65" i="18"/>
  <c r="F299" i="16"/>
  <c r="M47" i="20" s="1"/>
  <c r="M48" i="20"/>
  <c r="E299" i="16"/>
  <c r="I47" i="20" s="1"/>
  <c r="I48" i="20"/>
  <c r="E296" i="16"/>
  <c r="I44" i="20" s="1"/>
  <c r="E44" i="20"/>
  <c r="F296" i="16"/>
  <c r="D291" i="16"/>
  <c r="E65" i="16"/>
  <c r="H44" i="20" l="1"/>
  <c r="E292" i="17"/>
  <c r="E296" i="18"/>
  <c r="F44" i="20"/>
  <c r="F296" i="18"/>
  <c r="D291" i="18"/>
  <c r="L44" i="20"/>
  <c r="F292" i="17"/>
  <c r="D39" i="20"/>
  <c r="D290" i="17"/>
  <c r="D387" i="17" s="1"/>
  <c r="D132" i="20" s="1"/>
  <c r="F270" i="19"/>
  <c r="F265" i="19" s="1"/>
  <c r="F263" i="19" s="1"/>
  <c r="F360" i="19" s="1"/>
  <c r="E270" i="19"/>
  <c r="E265" i="19" s="1"/>
  <c r="E263" i="19" s="1"/>
  <c r="E360" i="19" s="1"/>
  <c r="D265" i="19"/>
  <c r="D263" i="19" s="1"/>
  <c r="D360" i="19" s="1"/>
  <c r="E291" i="16"/>
  <c r="I39" i="20" s="1"/>
  <c r="D289" i="16"/>
  <c r="E39" i="20"/>
  <c r="F291" i="16"/>
  <c r="M44" i="20"/>
  <c r="E37" i="20" l="1"/>
  <c r="D386" i="16"/>
  <c r="E132" i="20" s="1"/>
  <c r="E315" i="19"/>
  <c r="E326" i="19"/>
  <c r="E337" i="19"/>
  <c r="E317" i="19"/>
  <c r="E330" i="19"/>
  <c r="E313" i="19"/>
  <c r="E324" i="19"/>
  <c r="E352" i="19"/>
  <c r="E341" i="19"/>
  <c r="E356" i="19"/>
  <c r="E311" i="19"/>
  <c r="E322" i="19"/>
  <c r="E335" i="19"/>
  <c r="E350" i="19"/>
  <c r="E339" i="19"/>
  <c r="E343" i="19"/>
  <c r="E328" i="19"/>
  <c r="E309" i="19"/>
  <c r="E348" i="19"/>
  <c r="E354" i="19"/>
  <c r="E284" i="19"/>
  <c r="E290" i="19"/>
  <c r="E287" i="19"/>
  <c r="E293" i="19"/>
  <c r="E281" i="19"/>
  <c r="F290" i="17"/>
  <c r="F387" i="17" s="1"/>
  <c r="L132" i="20" s="1"/>
  <c r="L39" i="20"/>
  <c r="E289" i="16"/>
  <c r="F356" i="19"/>
  <c r="F335" i="19"/>
  <c r="F341" i="19"/>
  <c r="F352" i="19"/>
  <c r="F343" i="19"/>
  <c r="F350" i="19"/>
  <c r="F354" i="19"/>
  <c r="F337" i="19"/>
  <c r="F339" i="19"/>
  <c r="F348" i="19"/>
  <c r="F290" i="19"/>
  <c r="F291" i="19" s="1"/>
  <c r="F287" i="19"/>
  <c r="F288" i="19" s="1"/>
  <c r="F284" i="19"/>
  <c r="F285" i="19" s="1"/>
  <c r="F293" i="19"/>
  <c r="F294" i="19" s="1"/>
  <c r="F281" i="19"/>
  <c r="F282" i="19" s="1"/>
  <c r="J44" i="20"/>
  <c r="E291" i="18"/>
  <c r="F329" i="17"/>
  <c r="L74" i="20" s="1"/>
  <c r="D349" i="17"/>
  <c r="D94" i="20" s="1"/>
  <c r="D368" i="17"/>
  <c r="D113" i="20" s="1"/>
  <c r="D379" i="17"/>
  <c r="D124" i="20" s="1"/>
  <c r="D370" i="17"/>
  <c r="D115" i="20" s="1"/>
  <c r="D351" i="17"/>
  <c r="D96" i="20" s="1"/>
  <c r="D342" i="17"/>
  <c r="D87" i="20" s="1"/>
  <c r="D377" i="17"/>
  <c r="D122" i="20" s="1"/>
  <c r="D364" i="17"/>
  <c r="D109" i="20" s="1"/>
  <c r="D366" i="17"/>
  <c r="D111" i="20" s="1"/>
  <c r="D383" i="17"/>
  <c r="D128" i="20" s="1"/>
  <c r="D37" i="20"/>
  <c r="D340" i="17"/>
  <c r="D85" i="20" s="1"/>
  <c r="D338" i="17"/>
  <c r="D83" i="20" s="1"/>
  <c r="D355" i="17"/>
  <c r="D100" i="20" s="1"/>
  <c r="D357" i="17"/>
  <c r="D102" i="20" s="1"/>
  <c r="D344" i="17"/>
  <c r="D89" i="20" s="1"/>
  <c r="D375" i="17"/>
  <c r="D120" i="20" s="1"/>
  <c r="F331" i="17"/>
  <c r="L76" i="20" s="1"/>
  <c r="D336" i="17"/>
  <c r="D81" i="20" s="1"/>
  <c r="D353" i="17"/>
  <c r="D98" i="20" s="1"/>
  <c r="D381" i="17"/>
  <c r="D126" i="20" s="1"/>
  <c r="D362" i="17"/>
  <c r="D107" i="20" s="1"/>
  <c r="D311" i="17"/>
  <c r="D314" i="17"/>
  <c r="D317" i="17"/>
  <c r="D320" i="17"/>
  <c r="D308" i="17"/>
  <c r="F39" i="20"/>
  <c r="D289" i="18"/>
  <c r="D386" i="18" s="1"/>
  <c r="F132" i="20" s="1"/>
  <c r="E290" i="17"/>
  <c r="E387" i="17" s="1"/>
  <c r="H132" i="20" s="1"/>
  <c r="H39" i="20"/>
  <c r="D324" i="19"/>
  <c r="D322" i="19"/>
  <c r="D315" i="19"/>
  <c r="D348" i="19"/>
  <c r="D341" i="19"/>
  <c r="D352" i="19"/>
  <c r="D343" i="19"/>
  <c r="D311" i="19"/>
  <c r="D337" i="19"/>
  <c r="D339" i="19"/>
  <c r="D350" i="19"/>
  <c r="F304" i="19"/>
  <c r="D326" i="19"/>
  <c r="D317" i="19"/>
  <c r="D330" i="19"/>
  <c r="D335" i="19"/>
  <c r="F302" i="19"/>
  <c r="D328" i="19"/>
  <c r="D309" i="19"/>
  <c r="D313" i="19"/>
  <c r="D354" i="19"/>
  <c r="D356" i="19"/>
  <c r="D287" i="19"/>
  <c r="D288" i="19" s="1"/>
  <c r="D290" i="19"/>
  <c r="D291" i="19" s="1"/>
  <c r="D284" i="19"/>
  <c r="D285" i="19" s="1"/>
  <c r="D293" i="19"/>
  <c r="D294" i="19" s="1"/>
  <c r="D281" i="19"/>
  <c r="N44" i="20"/>
  <c r="F291" i="18"/>
  <c r="D319" i="16"/>
  <c r="E65" i="20" s="1"/>
  <c r="D367" i="16"/>
  <c r="E113" i="20" s="1"/>
  <c r="D316" i="16"/>
  <c r="E62" i="20" s="1"/>
  <c r="F328" i="16"/>
  <c r="M74" i="20" s="1"/>
  <c r="D339" i="16"/>
  <c r="E85" i="20" s="1"/>
  <c r="D348" i="16"/>
  <c r="E94" i="20" s="1"/>
  <c r="D354" i="16"/>
  <c r="E100" i="20" s="1"/>
  <c r="D376" i="16"/>
  <c r="E122" i="20" s="1"/>
  <c r="D341" i="16"/>
  <c r="E87" i="20" s="1"/>
  <c r="D313" i="16"/>
  <c r="D314" i="16" s="1"/>
  <c r="E60" i="20" s="1"/>
  <c r="D335" i="16"/>
  <c r="E81" i="20" s="1"/>
  <c r="D343" i="16"/>
  <c r="E89" i="20" s="1"/>
  <c r="D363" i="16"/>
  <c r="E109" i="20" s="1"/>
  <c r="D310" i="16"/>
  <c r="D311" i="16" s="1"/>
  <c r="E57" i="20" s="1"/>
  <c r="D307" i="16"/>
  <c r="D308" i="16" s="1"/>
  <c r="E54" i="20" s="1"/>
  <c r="D337" i="16"/>
  <c r="E83" i="20" s="1"/>
  <c r="F330" i="16"/>
  <c r="M76" i="20" s="1"/>
  <c r="D352" i="16"/>
  <c r="E98" i="20" s="1"/>
  <c r="D365" i="16"/>
  <c r="E111" i="20" s="1"/>
  <c r="D374" i="16"/>
  <c r="E120" i="20" s="1"/>
  <c r="D356" i="16"/>
  <c r="E102" i="20" s="1"/>
  <c r="D369" i="16"/>
  <c r="E115" i="20" s="1"/>
  <c r="D378" i="16"/>
  <c r="E124" i="20" s="1"/>
  <c r="D382" i="16"/>
  <c r="E128" i="20" s="1"/>
  <c r="D350" i="16"/>
  <c r="E96" i="20" s="1"/>
  <c r="D361" i="16"/>
  <c r="E107" i="20" s="1"/>
  <c r="D380" i="16"/>
  <c r="E126" i="20" s="1"/>
  <c r="F289" i="16"/>
  <c r="F386" i="16" s="1"/>
  <c r="M132" i="20" s="1"/>
  <c r="M39" i="20"/>
  <c r="E348" i="16" l="1"/>
  <c r="I94" i="20" s="1"/>
  <c r="E386" i="16"/>
  <c r="I132" i="20" s="1"/>
  <c r="E53" i="20"/>
  <c r="D320" i="16"/>
  <c r="E66" i="20" s="1"/>
  <c r="E354" i="16"/>
  <c r="I100" i="20" s="1"/>
  <c r="D317" i="16"/>
  <c r="E63" i="20" s="1"/>
  <c r="J271" i="16"/>
  <c r="S21" i="20" s="1"/>
  <c r="E365" i="16"/>
  <c r="I111" i="20" s="1"/>
  <c r="E376" i="16"/>
  <c r="I122" i="20" s="1"/>
  <c r="E339" i="16"/>
  <c r="I85" i="20" s="1"/>
  <c r="J268" i="16"/>
  <c r="S18" i="20" s="1"/>
  <c r="E350" i="16"/>
  <c r="I96" i="20" s="1"/>
  <c r="E352" i="16"/>
  <c r="I98" i="20" s="1"/>
  <c r="J265" i="16"/>
  <c r="S15" i="20" s="1"/>
  <c r="E363" i="16"/>
  <c r="I109" i="20" s="1"/>
  <c r="E343" i="16"/>
  <c r="I89" i="20" s="1"/>
  <c r="E369" i="16"/>
  <c r="I115" i="20" s="1"/>
  <c r="J239" i="19"/>
  <c r="J245" i="19"/>
  <c r="J242" i="19"/>
  <c r="D282" i="19"/>
  <c r="E353" i="17"/>
  <c r="H98" i="20" s="1"/>
  <c r="E340" i="17"/>
  <c r="H85" i="20" s="1"/>
  <c r="E368" i="17"/>
  <c r="H113" i="20" s="1"/>
  <c r="E375" i="17"/>
  <c r="H120" i="20" s="1"/>
  <c r="E357" i="17"/>
  <c r="H102" i="20" s="1"/>
  <c r="E362" i="17"/>
  <c r="H107" i="20" s="1"/>
  <c r="E383" i="17"/>
  <c r="H128" i="20" s="1"/>
  <c r="H37" i="20"/>
  <c r="E355" i="17"/>
  <c r="H100" i="20" s="1"/>
  <c r="E338" i="17"/>
  <c r="H83" i="20" s="1"/>
  <c r="E381" i="17"/>
  <c r="H126" i="20" s="1"/>
  <c r="E344" i="17"/>
  <c r="H89" i="20" s="1"/>
  <c r="E370" i="17"/>
  <c r="H115" i="20" s="1"/>
  <c r="E349" i="17"/>
  <c r="H94" i="20" s="1"/>
  <c r="E351" i="17"/>
  <c r="H96" i="20" s="1"/>
  <c r="E377" i="17"/>
  <c r="H122" i="20" s="1"/>
  <c r="E342" i="17"/>
  <c r="H87" i="20" s="1"/>
  <c r="E336" i="17"/>
  <c r="H81" i="20" s="1"/>
  <c r="E366" i="17"/>
  <c r="H111" i="20" s="1"/>
  <c r="E364" i="17"/>
  <c r="H109" i="20" s="1"/>
  <c r="E379" i="17"/>
  <c r="H124" i="20" s="1"/>
  <c r="E314" i="17"/>
  <c r="E311" i="17"/>
  <c r="E317" i="17"/>
  <c r="E320" i="17"/>
  <c r="E308" i="17"/>
  <c r="D321" i="17"/>
  <c r="D66" i="20" s="1"/>
  <c r="D65" i="20"/>
  <c r="I37" i="20"/>
  <c r="E335" i="16"/>
  <c r="I81" i="20" s="1"/>
  <c r="E319" i="16"/>
  <c r="E294" i="19"/>
  <c r="Q247" i="19"/>
  <c r="E361" i="16"/>
  <c r="I107" i="20" s="1"/>
  <c r="E316" i="16"/>
  <c r="Q270" i="16" s="1"/>
  <c r="P270" i="16" s="1"/>
  <c r="AC20" i="20" s="1"/>
  <c r="E367" i="16"/>
  <c r="I113" i="20" s="1"/>
  <c r="E310" i="16"/>
  <c r="E313" i="16"/>
  <c r="E382" i="16"/>
  <c r="I128" i="20" s="1"/>
  <c r="F37" i="20"/>
  <c r="D339" i="18"/>
  <c r="F85" i="20" s="1"/>
  <c r="D337" i="18"/>
  <c r="F83" i="20" s="1"/>
  <c r="D367" i="18"/>
  <c r="F113" i="20" s="1"/>
  <c r="D343" i="18"/>
  <c r="F89" i="20" s="1"/>
  <c r="D361" i="18"/>
  <c r="F107" i="20" s="1"/>
  <c r="F330" i="18"/>
  <c r="N76" i="20" s="1"/>
  <c r="D354" i="18"/>
  <c r="F100" i="20" s="1"/>
  <c r="D335" i="18"/>
  <c r="F81" i="20" s="1"/>
  <c r="D352" i="18"/>
  <c r="F98" i="20" s="1"/>
  <c r="D380" i="18"/>
  <c r="F126" i="20" s="1"/>
  <c r="D356" i="18"/>
  <c r="F102" i="20" s="1"/>
  <c r="F328" i="18"/>
  <c r="N74" i="20" s="1"/>
  <c r="D348" i="18"/>
  <c r="F94" i="20" s="1"/>
  <c r="D374" i="18"/>
  <c r="F120" i="20" s="1"/>
  <c r="D376" i="18"/>
  <c r="F122" i="20" s="1"/>
  <c r="D382" i="18"/>
  <c r="F128" i="20" s="1"/>
  <c r="D350" i="18"/>
  <c r="F96" i="20" s="1"/>
  <c r="D341" i="18"/>
  <c r="F87" i="20" s="1"/>
  <c r="D363" i="18"/>
  <c r="F109" i="20" s="1"/>
  <c r="D378" i="18"/>
  <c r="F124" i="20" s="1"/>
  <c r="D365" i="18"/>
  <c r="F111" i="20" s="1"/>
  <c r="D369" i="18"/>
  <c r="F115" i="20" s="1"/>
  <c r="D310" i="18"/>
  <c r="D313" i="18"/>
  <c r="D316" i="18"/>
  <c r="D319" i="18"/>
  <c r="D307" i="18"/>
  <c r="D318" i="17"/>
  <c r="D63" i="20" s="1"/>
  <c r="D62" i="20"/>
  <c r="E288" i="19"/>
  <c r="Q241" i="19"/>
  <c r="E380" i="16"/>
  <c r="I126" i="20" s="1"/>
  <c r="N39" i="20"/>
  <c r="F289" i="18"/>
  <c r="F386" i="18" s="1"/>
  <c r="N132" i="20" s="1"/>
  <c r="D59" i="20"/>
  <c r="D315" i="17"/>
  <c r="D60" i="20" s="1"/>
  <c r="F364" i="17"/>
  <c r="L109" i="20" s="1"/>
  <c r="F379" i="17"/>
  <c r="L124" i="20" s="1"/>
  <c r="F370" i="17"/>
  <c r="L115" i="20" s="1"/>
  <c r="F366" i="17"/>
  <c r="L111" i="20" s="1"/>
  <c r="F381" i="17"/>
  <c r="L126" i="20" s="1"/>
  <c r="F368" i="17"/>
  <c r="L113" i="20" s="1"/>
  <c r="F375" i="17"/>
  <c r="L120" i="20" s="1"/>
  <c r="F383" i="17"/>
  <c r="L128" i="20" s="1"/>
  <c r="F362" i="17"/>
  <c r="L107" i="20" s="1"/>
  <c r="F377" i="17"/>
  <c r="L122" i="20" s="1"/>
  <c r="L37" i="20"/>
  <c r="F314" i="17"/>
  <c r="F317" i="17"/>
  <c r="F320" i="17"/>
  <c r="F311" i="17"/>
  <c r="F308" i="17"/>
  <c r="E291" i="19"/>
  <c r="Q244" i="19"/>
  <c r="E378" i="16"/>
  <c r="I124" i="20" s="1"/>
  <c r="E337" i="16"/>
  <c r="I83" i="20" s="1"/>
  <c r="E356" i="16"/>
  <c r="I102" i="20" s="1"/>
  <c r="E307" i="16"/>
  <c r="E374" i="16"/>
  <c r="I120" i="20" s="1"/>
  <c r="E341" i="16"/>
  <c r="I87" i="20" s="1"/>
  <c r="D53" i="20"/>
  <c r="D309" i="17"/>
  <c r="D54" i="20" s="1"/>
  <c r="J269" i="17"/>
  <c r="R18" i="20" s="1"/>
  <c r="J266" i="17"/>
  <c r="R15" i="20" s="1"/>
  <c r="J272" i="17"/>
  <c r="R21" i="20" s="1"/>
  <c r="D56" i="20"/>
  <c r="D312" i="17"/>
  <c r="D57" i="20" s="1"/>
  <c r="J39" i="20"/>
  <c r="E289" i="18"/>
  <c r="E386" i="18" s="1"/>
  <c r="J132" i="20" s="1"/>
  <c r="K239" i="19"/>
  <c r="Q250" i="19"/>
  <c r="K242" i="19"/>
  <c r="K245" i="19"/>
  <c r="E282" i="19"/>
  <c r="Q238" i="19"/>
  <c r="E285" i="19"/>
  <c r="E56" i="20"/>
  <c r="E59" i="20"/>
  <c r="I62" i="20"/>
  <c r="M37" i="20"/>
  <c r="F382" i="16"/>
  <c r="M128" i="20" s="1"/>
  <c r="F361" i="16"/>
  <c r="M107" i="20" s="1"/>
  <c r="F365" i="16"/>
  <c r="M111" i="20" s="1"/>
  <c r="F319" i="16"/>
  <c r="F310" i="16"/>
  <c r="F374" i="16"/>
  <c r="M120" i="20" s="1"/>
  <c r="F380" i="16"/>
  <c r="M126" i="20" s="1"/>
  <c r="F367" i="16"/>
  <c r="M113" i="20" s="1"/>
  <c r="F316" i="16"/>
  <c r="F307" i="16"/>
  <c r="F363" i="16"/>
  <c r="M109" i="20" s="1"/>
  <c r="F378" i="16"/>
  <c r="M124" i="20" s="1"/>
  <c r="F313" i="16"/>
  <c r="F369" i="16"/>
  <c r="M115" i="20" s="1"/>
  <c r="F376" i="16"/>
  <c r="M122" i="20" s="1"/>
  <c r="AG20" i="20" l="1"/>
  <c r="R270" i="16"/>
  <c r="AK20" i="20" s="1"/>
  <c r="T270" i="16"/>
  <c r="AO20" i="20" s="1"/>
  <c r="E317" i="16"/>
  <c r="I63" i="20" s="1"/>
  <c r="P238" i="19"/>
  <c r="R238" i="19" s="1"/>
  <c r="T238" i="19"/>
  <c r="T250" i="19"/>
  <c r="P250" i="19"/>
  <c r="R250" i="19" s="1"/>
  <c r="F312" i="17"/>
  <c r="L57" i="20" s="1"/>
  <c r="L56" i="20"/>
  <c r="L53" i="20"/>
  <c r="F309" i="17"/>
  <c r="L54" i="20" s="1"/>
  <c r="L59" i="20"/>
  <c r="F315" i="17"/>
  <c r="L60" i="20" s="1"/>
  <c r="D314" i="18"/>
  <c r="F60" i="20" s="1"/>
  <c r="F59" i="20"/>
  <c r="E318" i="17"/>
  <c r="H63" i="20" s="1"/>
  <c r="Q271" i="17"/>
  <c r="H62" i="20"/>
  <c r="T241" i="19"/>
  <c r="P241" i="19"/>
  <c r="R241" i="19" s="1"/>
  <c r="J271" i="18"/>
  <c r="T21" i="20" s="1"/>
  <c r="F53" i="20"/>
  <c r="J268" i="18"/>
  <c r="T18" i="20" s="1"/>
  <c r="D308" i="18"/>
  <c r="F54" i="20" s="1"/>
  <c r="J265" i="18"/>
  <c r="T15" i="20" s="1"/>
  <c r="F56" i="20"/>
  <c r="D311" i="18"/>
  <c r="F57" i="20" s="1"/>
  <c r="Q273" i="16"/>
  <c r="I65" i="20"/>
  <c r="E320" i="16"/>
  <c r="I66" i="20" s="1"/>
  <c r="E312" i="17"/>
  <c r="H57" i="20" s="1"/>
  <c r="H56" i="20"/>
  <c r="Q265" i="17"/>
  <c r="K265" i="16"/>
  <c r="W15" i="20" s="1"/>
  <c r="K271" i="16"/>
  <c r="W21" i="20" s="1"/>
  <c r="I53" i="20"/>
  <c r="Q276" i="16"/>
  <c r="K268" i="16"/>
  <c r="W18" i="20" s="1"/>
  <c r="E308" i="16"/>
  <c r="I54" i="20" s="1"/>
  <c r="P244" i="19"/>
  <c r="R244" i="19" s="1"/>
  <c r="T244" i="19"/>
  <c r="F321" i="17"/>
  <c r="L66" i="20" s="1"/>
  <c r="L65" i="20"/>
  <c r="N37" i="20"/>
  <c r="F363" i="18"/>
  <c r="N109" i="20" s="1"/>
  <c r="F374" i="18"/>
  <c r="N120" i="20" s="1"/>
  <c r="F378" i="18"/>
  <c r="N124" i="20" s="1"/>
  <c r="F382" i="18"/>
  <c r="N128" i="20" s="1"/>
  <c r="F361" i="18"/>
  <c r="N107" i="20" s="1"/>
  <c r="F376" i="18"/>
  <c r="N122" i="20" s="1"/>
  <c r="F365" i="18"/>
  <c r="N111" i="20" s="1"/>
  <c r="F367" i="18"/>
  <c r="N113" i="20" s="1"/>
  <c r="F380" i="18"/>
  <c r="N126" i="20" s="1"/>
  <c r="F369" i="18"/>
  <c r="N115" i="20" s="1"/>
  <c r="F310" i="18"/>
  <c r="F313" i="18"/>
  <c r="F316" i="18"/>
  <c r="F319" i="18"/>
  <c r="F307" i="18"/>
  <c r="D320" i="18"/>
  <c r="F66" i="20" s="1"/>
  <c r="F65" i="20"/>
  <c r="E314" i="16"/>
  <c r="I60" i="20" s="1"/>
  <c r="I59" i="20"/>
  <c r="Q267" i="16"/>
  <c r="K266" i="17"/>
  <c r="V15" i="20" s="1"/>
  <c r="H53" i="20"/>
  <c r="Q277" i="17"/>
  <c r="K269" i="17"/>
  <c r="V18" i="20" s="1"/>
  <c r="K272" i="17"/>
  <c r="V21" i="20" s="1"/>
  <c r="E309" i="17"/>
  <c r="H54" i="20" s="1"/>
  <c r="H59" i="20"/>
  <c r="E315" i="17"/>
  <c r="H60" i="20" s="1"/>
  <c r="Q268" i="17"/>
  <c r="J37" i="20"/>
  <c r="E350" i="18"/>
  <c r="J96" i="20" s="1"/>
  <c r="E335" i="18"/>
  <c r="J81" i="20" s="1"/>
  <c r="E374" i="18"/>
  <c r="J120" i="20" s="1"/>
  <c r="E369" i="18"/>
  <c r="J115" i="20" s="1"/>
  <c r="E339" i="18"/>
  <c r="J85" i="20" s="1"/>
  <c r="E367" i="18"/>
  <c r="J113" i="20" s="1"/>
  <c r="E337" i="18"/>
  <c r="J83" i="20" s="1"/>
  <c r="E341" i="18"/>
  <c r="J87" i="20" s="1"/>
  <c r="E363" i="18"/>
  <c r="J109" i="20" s="1"/>
  <c r="E378" i="18"/>
  <c r="J124" i="20" s="1"/>
  <c r="E356" i="18"/>
  <c r="J102" i="20" s="1"/>
  <c r="E382" i="18"/>
  <c r="J128" i="20" s="1"/>
  <c r="E376" i="18"/>
  <c r="J122" i="20" s="1"/>
  <c r="E343" i="18"/>
  <c r="J89" i="20" s="1"/>
  <c r="E354" i="18"/>
  <c r="J100" i="20" s="1"/>
  <c r="E352" i="18"/>
  <c r="J98" i="20" s="1"/>
  <c r="E348" i="18"/>
  <c r="J94" i="20" s="1"/>
  <c r="E380" i="18"/>
  <c r="J126" i="20" s="1"/>
  <c r="E365" i="18"/>
  <c r="J111" i="20" s="1"/>
  <c r="E361" i="18"/>
  <c r="J107" i="20" s="1"/>
  <c r="E319" i="18"/>
  <c r="E313" i="18"/>
  <c r="E316" i="18"/>
  <c r="E310" i="18"/>
  <c r="E307" i="18"/>
  <c r="L62" i="20"/>
  <c r="F318" i="17"/>
  <c r="L63" i="20" s="1"/>
  <c r="D317" i="18"/>
  <c r="F63" i="20" s="1"/>
  <c r="F62" i="20"/>
  <c r="Q264" i="16"/>
  <c r="I56" i="20"/>
  <c r="E311" i="16"/>
  <c r="I57" i="20" s="1"/>
  <c r="T247" i="19"/>
  <c r="P247" i="19"/>
  <c r="R247" i="19" s="1"/>
  <c r="Q274" i="17"/>
  <c r="E321" i="17"/>
  <c r="H66" i="20" s="1"/>
  <c r="H65" i="20"/>
  <c r="F314" i="16"/>
  <c r="M60" i="20" s="1"/>
  <c r="M59" i="20"/>
  <c r="F317" i="16"/>
  <c r="M63" i="20" s="1"/>
  <c r="M62" i="20"/>
  <c r="F311" i="16"/>
  <c r="M57" i="20" s="1"/>
  <c r="M56" i="20"/>
  <c r="F320" i="16"/>
  <c r="M66" i="20" s="1"/>
  <c r="M65" i="20"/>
  <c r="F308" i="16"/>
  <c r="M54" i="20" s="1"/>
  <c r="M53" i="20"/>
  <c r="J53" i="20" l="1"/>
  <c r="Q276" i="18"/>
  <c r="K265" i="18"/>
  <c r="X15" i="20" s="1"/>
  <c r="K271" i="18"/>
  <c r="X21" i="20" s="1"/>
  <c r="E308" i="18"/>
  <c r="J54" i="20" s="1"/>
  <c r="K268" i="18"/>
  <c r="X18" i="20" s="1"/>
  <c r="E320" i="18"/>
  <c r="J66" i="20" s="1"/>
  <c r="J65" i="20"/>
  <c r="Q273" i="18"/>
  <c r="P277" i="17"/>
  <c r="T277" i="17"/>
  <c r="AN26" i="20" s="1"/>
  <c r="AF26" i="20"/>
  <c r="F308" i="18"/>
  <c r="N54" i="20" s="1"/>
  <c r="N53" i="20"/>
  <c r="F311" i="18"/>
  <c r="N57" i="20" s="1"/>
  <c r="N56" i="20"/>
  <c r="J56" i="20"/>
  <c r="Q264" i="18"/>
  <c r="E311" i="18"/>
  <c r="J57" i="20" s="1"/>
  <c r="N65" i="20"/>
  <c r="F320" i="18"/>
  <c r="N66" i="20" s="1"/>
  <c r="P268" i="17"/>
  <c r="AF17" i="20"/>
  <c r="T268" i="17"/>
  <c r="AN17" i="20" s="1"/>
  <c r="N62" i="20"/>
  <c r="F317" i="18"/>
  <c r="N63" i="20" s="1"/>
  <c r="T276" i="16"/>
  <c r="AO26" i="20" s="1"/>
  <c r="P276" i="16"/>
  <c r="AG26" i="20"/>
  <c r="P265" i="17"/>
  <c r="AF14" i="20"/>
  <c r="T265" i="17"/>
  <c r="AN14" i="20" s="1"/>
  <c r="P271" i="17"/>
  <c r="T271" i="17"/>
  <c r="AN20" i="20" s="1"/>
  <c r="AF20" i="20"/>
  <c r="T274" i="17"/>
  <c r="AN23" i="20" s="1"/>
  <c r="AF23" i="20"/>
  <c r="P274" i="17"/>
  <c r="J62" i="20"/>
  <c r="Q270" i="18"/>
  <c r="E317" i="18"/>
  <c r="J63" i="20" s="1"/>
  <c r="AG14" i="20"/>
  <c r="P264" i="16"/>
  <c r="T264" i="16"/>
  <c r="AO14" i="20" s="1"/>
  <c r="J59" i="20"/>
  <c r="Q267" i="18"/>
  <c r="E314" i="18"/>
  <c r="J60" i="20" s="1"/>
  <c r="P267" i="16"/>
  <c r="AG17" i="20"/>
  <c r="T267" i="16"/>
  <c r="AO17" i="20" s="1"/>
  <c r="F314" i="18"/>
  <c r="N60" i="20" s="1"/>
  <c r="N59" i="20"/>
  <c r="T273" i="16"/>
  <c r="AO23" i="20" s="1"/>
  <c r="AG23" i="20"/>
  <c r="P273" i="16"/>
  <c r="R267" i="16" l="1"/>
  <c r="AK17" i="20" s="1"/>
  <c r="AC17" i="20"/>
  <c r="AH20" i="20"/>
  <c r="T270" i="18"/>
  <c r="AP20" i="20" s="1"/>
  <c r="P270" i="18"/>
  <c r="R276" i="16"/>
  <c r="AK26" i="20" s="1"/>
  <c r="AC26" i="20"/>
  <c r="AC23" i="20"/>
  <c r="R273" i="16"/>
  <c r="AK23" i="20" s="1"/>
  <c r="R264" i="16"/>
  <c r="AK14" i="20" s="1"/>
  <c r="AC14" i="20"/>
  <c r="P267" i="18"/>
  <c r="T267" i="18"/>
  <c r="AP17" i="20" s="1"/>
  <c r="AH17" i="20"/>
  <c r="AB23" i="20"/>
  <c r="R274" i="17"/>
  <c r="AJ23" i="20" s="1"/>
  <c r="AB14" i="20"/>
  <c r="R265" i="17"/>
  <c r="AJ14" i="20" s="1"/>
  <c r="R268" i="17"/>
  <c r="AJ17" i="20" s="1"/>
  <c r="AB17" i="20"/>
  <c r="T264" i="18"/>
  <c r="AP14" i="20" s="1"/>
  <c r="AH14" i="20"/>
  <c r="P264" i="18"/>
  <c r="R277" i="17"/>
  <c r="AJ26" i="20" s="1"/>
  <c r="AB26" i="20"/>
  <c r="P276" i="18"/>
  <c r="AH26" i="20"/>
  <c r="T276" i="18"/>
  <c r="AP26" i="20" s="1"/>
  <c r="R271" i="17"/>
  <c r="AJ20" i="20" s="1"/>
  <c r="AB20" i="20"/>
  <c r="AH23" i="20"/>
  <c r="T273" i="18"/>
  <c r="AP23" i="20" s="1"/>
  <c r="P273" i="18"/>
  <c r="R276" i="18" l="1"/>
  <c r="AL26" i="20" s="1"/>
  <c r="AD26" i="20"/>
  <c r="AD17" i="20"/>
  <c r="R267" i="18"/>
  <c r="AL17" i="20" s="1"/>
  <c r="R264" i="18"/>
  <c r="AL14" i="20" s="1"/>
  <c r="AD14" i="20"/>
  <c r="AD23" i="20"/>
  <c r="R273" i="18"/>
  <c r="AL23" i="20" s="1"/>
  <c r="AD20" i="20"/>
  <c r="R270" i="18"/>
  <c r="AL20"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<sst xmlns="http://schemas.openxmlformats.org/spreadsheetml/2006/main" count="8651" uniqueCount="1133">
  <si>
    <t>Locatie &amp; bedrijfssituatie</t>
  </si>
  <si>
    <t>Jaarlijks grondgebruik</t>
  </si>
  <si>
    <t>Voordrogen</t>
  </si>
  <si>
    <t>Teeltkosten</t>
  </si>
  <si>
    <t>Oogstkosten</t>
  </si>
  <si>
    <t>Opslagkosten</t>
  </si>
  <si>
    <t>Versiebeheer</t>
  </si>
  <si>
    <t>Versie</t>
  </si>
  <si>
    <t>1.0</t>
  </si>
  <si>
    <t>Datum</t>
  </si>
  <si>
    <t>Auteur</t>
  </si>
  <si>
    <t>The Spring Company - Gerben Nij Bijvank &amp; Job van de Crommert</t>
  </si>
  <si>
    <t>Opdrachtgevers</t>
  </si>
  <si>
    <t>Innovatie Programma Veen &amp; Veenweiden Innovatiecentrum</t>
  </si>
  <si>
    <t>Handleiding</t>
  </si>
  <si>
    <t>Scope</t>
  </si>
  <si>
    <t>Conclusies</t>
  </si>
  <si>
    <t>Marktomvang</t>
  </si>
  <si>
    <t>Vervolg</t>
  </si>
  <si>
    <t>INPUT &amp; SELECTIE VARIABELEN EN WAARDEN</t>
  </si>
  <si>
    <t>Input</t>
  </si>
  <si>
    <t>Regio</t>
  </si>
  <si>
    <t xml:space="preserve">Bouwhoek en Hogeland </t>
  </si>
  <si>
    <t>Berekende emissies - bestaande situatie</t>
  </si>
  <si>
    <t>Hectares</t>
  </si>
  <si>
    <t>Standaardwaarde</t>
  </si>
  <si>
    <t>Handmatig</t>
  </si>
  <si>
    <t>Grondsoort en drainagetype</t>
  </si>
  <si>
    <t xml:space="preserve">Drooglegging </t>
  </si>
  <si>
    <t>Hectares in beheer</t>
  </si>
  <si>
    <t>[ha]</t>
  </si>
  <si>
    <t>Veen - zonder onderwaterdrainage</t>
  </si>
  <si>
    <t>[cm]</t>
  </si>
  <si>
    <t>Hectares te oogsten</t>
  </si>
  <si>
    <t>[ha/a]</t>
  </si>
  <si>
    <t xml:space="preserve">Emissies - bestaande situatie </t>
  </si>
  <si>
    <t>[tCO2/ha/a]</t>
  </si>
  <si>
    <t>CO2 emissie</t>
  </si>
  <si>
    <t xml:space="preserve">Emissies - toekomstige situatie </t>
  </si>
  <si>
    <t xml:space="preserve">CO2 reductie </t>
  </si>
  <si>
    <t>NO2 emissie</t>
  </si>
  <si>
    <t>[t CO2/a]</t>
  </si>
  <si>
    <t>CO2 equivalenten</t>
  </si>
  <si>
    <t>Berekende emissies - toekomstige situatie</t>
  </si>
  <si>
    <t>Grondgebruik en Teeltinvesteringen</t>
  </si>
  <si>
    <t xml:space="preserve">Jaarlijkse teeltkosten </t>
  </si>
  <si>
    <t>Per hectare</t>
  </si>
  <si>
    <t>Totaal</t>
  </si>
  <si>
    <t>[€/ha]</t>
  </si>
  <si>
    <t>[€/totaal]</t>
  </si>
  <si>
    <t xml:space="preserve">Pacht </t>
  </si>
  <si>
    <t>Waarde MIN</t>
  </si>
  <si>
    <t>Waarde MAX</t>
  </si>
  <si>
    <t xml:space="preserve">Westelijk Holland </t>
  </si>
  <si>
    <t>Waarde GEM</t>
  </si>
  <si>
    <t>[u/ha]</t>
  </si>
  <si>
    <t>Eigendom</t>
  </si>
  <si>
    <t>[€/u]</t>
  </si>
  <si>
    <t>[%]</t>
  </si>
  <si>
    <t>[a]</t>
  </si>
  <si>
    <t>Restwaarde grond</t>
  </si>
  <si>
    <t xml:space="preserve">Jaarlijkse rente en aflossing </t>
  </si>
  <si>
    <t xml:space="preserve">Jaarlijkse afschrijving </t>
  </si>
  <si>
    <t>Geen</t>
  </si>
  <si>
    <t xml:space="preserve">Teeltinvesteringen </t>
  </si>
  <si>
    <t>[m3/ha]</t>
  </si>
  <si>
    <t>[€/m3]</t>
  </si>
  <si>
    <t>Planten / Zaaien</t>
  </si>
  <si>
    <t>[€/m2]</t>
  </si>
  <si>
    <t>[u]</t>
  </si>
  <si>
    <t>Teeltopbrengsten &amp; oogstkosten</t>
  </si>
  <si>
    <t>Samenvatting jaarlijkse gewasopbrengst en oogstkosten</t>
  </si>
  <si>
    <t>Gewasopbrengsten</t>
  </si>
  <si>
    <t xml:space="preserve">Voordrogen </t>
  </si>
  <si>
    <t>Gewasopbrengst</t>
  </si>
  <si>
    <t>Grote Lisdodde</t>
  </si>
  <si>
    <t>Nee</t>
  </si>
  <si>
    <t>[t DS/ha]</t>
  </si>
  <si>
    <t>[t DS/totaal]</t>
  </si>
  <si>
    <t>Gewicht materiaal</t>
  </si>
  <si>
    <t>Materiaal input</t>
  </si>
  <si>
    <t>[t DS]</t>
  </si>
  <si>
    <t>Oogst &amp; opslagkosten</t>
  </si>
  <si>
    <t>[% DS]</t>
  </si>
  <si>
    <t>[g/aar]</t>
  </si>
  <si>
    <t>Materiaal input vers</t>
  </si>
  <si>
    <t>[ton]</t>
  </si>
  <si>
    <t>[aren/m2]</t>
  </si>
  <si>
    <t>Materiaal output droog</t>
  </si>
  <si>
    <t xml:space="preserve">Waterverdamping </t>
  </si>
  <si>
    <t>Voordroogkosten</t>
  </si>
  <si>
    <t>Afvoerkosten restproduct (gras)drogerij</t>
  </si>
  <si>
    <t>[€/ton]</t>
  </si>
  <si>
    <t>Totaal oogst &amp; opslagkosten</t>
  </si>
  <si>
    <t>Oogst- en opslagkosten</t>
  </si>
  <si>
    <t>Logistiek</t>
  </si>
  <si>
    <t>Afstand drooglocatie</t>
  </si>
  <si>
    <t>[km]</t>
  </si>
  <si>
    <t>Veldhakselaar standaard</t>
  </si>
  <si>
    <t>Transport truck groot</t>
  </si>
  <si>
    <t>[€/t/km]</t>
  </si>
  <si>
    <t>Transportkosten vers materiaal</t>
  </si>
  <si>
    <t>[€/tot]</t>
  </si>
  <si>
    <t xml:space="preserve">Persen en inwikkelen - anaerobe fermentatie </t>
  </si>
  <si>
    <t>[€/ton DS]</t>
  </si>
  <si>
    <t>Afstand opslaglocatie</t>
  </si>
  <si>
    <t>Bulk opslag - balen binnen</t>
  </si>
  <si>
    <t>Transportkosten droog materiaal</t>
  </si>
  <si>
    <t>Referentie - omgerekend per baal</t>
  </si>
  <si>
    <t>Vierkante baal (120 x 90 x 150 cm)</t>
  </si>
  <si>
    <t>[kg DS/baal]</t>
  </si>
  <si>
    <t>Droogkosten</t>
  </si>
  <si>
    <t>Kosten persen (en wikkelen)</t>
  </si>
  <si>
    <t>[€/baal]</t>
  </si>
  <si>
    <t xml:space="preserve">Grasdrogerij </t>
  </si>
  <si>
    <t>[€/t verd.]</t>
  </si>
  <si>
    <t xml:space="preserve">Kosten opslag </t>
  </si>
  <si>
    <t xml:space="preserve">Efficiency </t>
  </si>
  <si>
    <t xml:space="preserve">Totaal gedroogd product </t>
  </si>
  <si>
    <t>Zeven met stationaire zeef</t>
  </si>
  <si>
    <t>Restproduct</t>
  </si>
  <si>
    <t>Totale kosten</t>
  </si>
  <si>
    <t xml:space="preserve">Overladen in big bags </t>
  </si>
  <si>
    <t xml:space="preserve">Logistiek vers product </t>
  </si>
  <si>
    <t>[€]</t>
  </si>
  <si>
    <t xml:space="preserve">Logistiek droog product </t>
  </si>
  <si>
    <t xml:space="preserve">Big bag opslag binnen </t>
  </si>
  <si>
    <t>Referentie - omgerekend per big bag</t>
  </si>
  <si>
    <t>Afvoer restproduct</t>
  </si>
  <si>
    <t>Big bag standaard 1 m3</t>
  </si>
  <si>
    <t>[kg DS/bb]</t>
  </si>
  <si>
    <t>Totaal voordrogen</t>
  </si>
  <si>
    <t>Kosten vullen, inclusief zak big bag</t>
  </si>
  <si>
    <t>[€/big bag]</t>
  </si>
  <si>
    <t xml:space="preserve">Per ton droog product </t>
  </si>
  <si>
    <t>Kosten opslag</t>
  </si>
  <si>
    <t>Verkoopopbrengsten &amp; verwerkingskosten</t>
  </si>
  <si>
    <t>Controle beschikbare oogst vs. verkoop</t>
  </si>
  <si>
    <t xml:space="preserve">Verkoop product 1 </t>
  </si>
  <si>
    <t>Verkoop product 2</t>
  </si>
  <si>
    <t>Verkoop product 3</t>
  </si>
  <si>
    <t>Verkoop product 4</t>
  </si>
  <si>
    <t>Verkoop product 5</t>
  </si>
  <si>
    <t>Beschikbaar</t>
  </si>
  <si>
    <t>Verkoop bruto</t>
  </si>
  <si>
    <t>Productkeuze</t>
  </si>
  <si>
    <t>Producteisen</t>
  </si>
  <si>
    <t>Blad &amp; stengelmateriaal</t>
  </si>
  <si>
    <t>Bouw - Inblaasisolatie</t>
  </si>
  <si>
    <t>Bouw - Beton - Droge mortel - Versterker</t>
  </si>
  <si>
    <t>Bouw - Isolatieplaat (Typha Board)</t>
  </si>
  <si>
    <t xml:space="preserve">Plastics - Spuitgieten - Vuller </t>
  </si>
  <si>
    <t>Papier - Massief karton - Vuller</t>
  </si>
  <si>
    <t>Pluis</t>
  </si>
  <si>
    <t>Samenvatting productverkoop - opbrengst totaal</t>
  </si>
  <si>
    <t>Verkoopprijs</t>
  </si>
  <si>
    <t>Product</t>
  </si>
  <si>
    <t>Plantdeel</t>
  </si>
  <si>
    <t>Volume tDS</t>
  </si>
  <si>
    <t>Bruto</t>
  </si>
  <si>
    <t>Netto</t>
  </si>
  <si>
    <t>Bruto opbrengst</t>
  </si>
  <si>
    <t>Transportkosten</t>
  </si>
  <si>
    <t>Netto opbrengst</t>
  </si>
  <si>
    <t>Input - materiaal</t>
  </si>
  <si>
    <t xml:space="preserve">Afvoerkosten restproduct </t>
  </si>
  <si>
    <t xml:space="preserve">Droogstap </t>
  </si>
  <si>
    <t>Ja</t>
  </si>
  <si>
    <t>Producteis</t>
  </si>
  <si>
    <t>Logistiek - drogen</t>
  </si>
  <si>
    <t>Droogsysteem</t>
  </si>
  <si>
    <t xml:space="preserve">Droogcontainers - passief drogen </t>
  </si>
  <si>
    <t>Verwerkingsstap 1</t>
  </si>
  <si>
    <t>Input materiaal</t>
  </si>
  <si>
    <t>Afstand verwerkingslocatie</t>
  </si>
  <si>
    <t>Transportkosten product</t>
  </si>
  <si>
    <t>Verwerking</t>
  </si>
  <si>
    <t xml:space="preserve">Verkleinen / malen / hakselen </t>
  </si>
  <si>
    <t>[€/t]</t>
  </si>
  <si>
    <t>Efficiency</t>
  </si>
  <si>
    <t>Verwerkingskosten</t>
  </si>
  <si>
    <t>Totaal hoofdproduct</t>
  </si>
  <si>
    <t>Verwerkingsstap 2</t>
  </si>
  <si>
    <t>Transport truck klein</t>
  </si>
  <si>
    <t>Zeven</t>
  </si>
  <si>
    <t>Transport naar afnemer</t>
  </si>
  <si>
    <t xml:space="preserve">Input materiaal </t>
  </si>
  <si>
    <t>Afstand &amp; transporttype</t>
  </si>
  <si>
    <t>Afstand afnemer</t>
  </si>
  <si>
    <t>Transportkosten gereed product</t>
  </si>
  <si>
    <t>Overige inkomsten &amp; referentie inkomsten</t>
  </si>
  <si>
    <t xml:space="preserve">Overige inkomsten </t>
  </si>
  <si>
    <t>Inkomsten GLB subsidies</t>
  </si>
  <si>
    <t>Referentie inkomsten</t>
  </si>
  <si>
    <t>Melkvee op veen</t>
  </si>
  <si>
    <t>Waterbuffering</t>
  </si>
  <si>
    <t>Verhuur / verpachten</t>
  </si>
  <si>
    <t>Zonnepanelen</t>
  </si>
  <si>
    <t>CO2 reductie - per hectare</t>
  </si>
  <si>
    <t>Prijs CO2 certificaten</t>
  </si>
  <si>
    <t>[€/ton CO2]</t>
  </si>
  <si>
    <t>Opbrengst CO2 certificaten</t>
  </si>
  <si>
    <t>RESULTATEN</t>
  </si>
  <si>
    <t>Resultaten bedrijfsvoering</t>
  </si>
  <si>
    <t>Vergelijking resultaten vs. referentie inkomsten</t>
  </si>
  <si>
    <t>Berekening subsidie onrendabele top overheid</t>
  </si>
  <si>
    <t>Beschrijving</t>
  </si>
  <si>
    <t xml:space="preserve">Eenheid </t>
  </si>
  <si>
    <t>Per ton DS</t>
  </si>
  <si>
    <t>Aantal hectare in beheer</t>
  </si>
  <si>
    <t>Minimaal inkomen</t>
  </si>
  <si>
    <t>[€/a]</t>
  </si>
  <si>
    <t>Aantal tonnen oogstopbrengst</t>
  </si>
  <si>
    <t>Vermeden ton CO2</t>
  </si>
  <si>
    <t>Vergelijking referentie inkomsten</t>
  </si>
  <si>
    <t>Onrendabele top</t>
  </si>
  <si>
    <t>Productverkoop - netto</t>
  </si>
  <si>
    <t>Productverkoop</t>
  </si>
  <si>
    <t>Productverkoop &amp; GLB standaard</t>
  </si>
  <si>
    <t>Invoer additionele productverkoop</t>
  </si>
  <si>
    <t>Productverkoop, GLB stand. &amp; overige</t>
  </si>
  <si>
    <t>Excl. beoogde GLB vernatten veen</t>
  </si>
  <si>
    <t>Overige inkomsten</t>
  </si>
  <si>
    <t>Invoer additionele inkomsten</t>
  </si>
  <si>
    <t>Kosten totaal</t>
  </si>
  <si>
    <t>Invoer additionele kosten</t>
  </si>
  <si>
    <t>Resultaat totaal</t>
  </si>
  <si>
    <t>Resultaat productverkoop</t>
  </si>
  <si>
    <t>Res. productverkoop &amp; GLB standaard</t>
  </si>
  <si>
    <t>Break-even</t>
  </si>
  <si>
    <t>O.b.v. productverkoop &amp; GLB standaard</t>
  </si>
  <si>
    <t>Minimale verkoopprijs per ton DS</t>
  </si>
  <si>
    <t>[€/t DS]</t>
  </si>
  <si>
    <t>Producten</t>
  </si>
  <si>
    <t xml:space="preserve">Status </t>
  </si>
  <si>
    <t>Bron 1 - naam/jaar</t>
  </si>
  <si>
    <t>Bron 1 - waarde</t>
  </si>
  <si>
    <t>Bron 1 - type/link</t>
  </si>
  <si>
    <t>Bron 2 - naam/jaar</t>
  </si>
  <si>
    <t>Bron 2 - waarde</t>
  </si>
  <si>
    <t>Bron 2 - type/link</t>
  </si>
  <si>
    <t>Bron 3 - naam/jaar</t>
  </si>
  <si>
    <t>Bron 3 - waarde</t>
  </si>
  <si>
    <t>Bron 3 - type/link</t>
  </si>
  <si>
    <t>Opmerkingen</t>
  </si>
  <si>
    <t>Actie</t>
  </si>
  <si>
    <t>Owner</t>
  </si>
  <si>
    <t>Deadline</t>
  </si>
  <si>
    <t>Eenheid</t>
  </si>
  <si>
    <t>Totaal volume eenheid</t>
  </si>
  <si>
    <t>Ton per eenheid</t>
  </si>
  <si>
    <t>% Biobased volume</t>
  </si>
  <si>
    <t>% DS vezel per eenheid</t>
  </si>
  <si>
    <t>Potentie ton DS vezel</t>
  </si>
  <si>
    <t>% Potentie lisdodde</t>
  </si>
  <si>
    <t>Potentie ton DS lisdodde</t>
  </si>
  <si>
    <t>Potentie hectares lisdodde</t>
  </si>
  <si>
    <t>% van totaal marktvolume</t>
  </si>
  <si>
    <t>Bruto verkoopprijs per ton DS - Waarde GEM</t>
  </si>
  <si>
    <t>Bruto marktwaarde teelt lisdodde</t>
  </si>
  <si>
    <t>% van totaal marktwaarde</t>
  </si>
  <si>
    <t>ESKA, 2021</t>
  </si>
  <si>
    <t>10% vezeltoevoeging</t>
  </si>
  <si>
    <t>Marktpartij - Producttest voorjaar 2021</t>
  </si>
  <si>
    <t>Vereniging Potgrond- en Substraatfabrikanten Nederland, 2021</t>
  </si>
  <si>
    <t>Artikel: https://www.devpn.nl/assets/files/artikel-boom-in-business-alternatieven-voor-veen-januari-2021.pdf</t>
  </si>
  <si>
    <t>Volume inclusief productie Nederlandse bedrijven voor wereldwijde markt, 12% van wereldwijd volume</t>
  </si>
  <si>
    <t>Gewasopbrengst per hectare - gemiddeld</t>
  </si>
  <si>
    <t>CO2 Emissie - bestaande situatie</t>
  </si>
  <si>
    <t>CO2 Emissie - toekomstige situatie</t>
  </si>
  <si>
    <t>Status beschrijving</t>
  </si>
  <si>
    <t>Status</t>
  </si>
  <si>
    <t>Eigenaar</t>
  </si>
  <si>
    <t>[t CO2-C/ha/a]</t>
  </si>
  <si>
    <t>Noordelijk weidegebied</t>
  </si>
  <si>
    <t>Enige aanname</t>
  </si>
  <si>
    <t xml:space="preserve">Oostelijk veehouderijgebied </t>
  </si>
  <si>
    <t xml:space="preserve">Centraal veehouderijgebied </t>
  </si>
  <si>
    <t xml:space="preserve">IJsselmeerpolders </t>
  </si>
  <si>
    <t xml:space="preserve">Waterland en Droogmakerijen </t>
  </si>
  <si>
    <t xml:space="preserve">Rivierengebied </t>
  </si>
  <si>
    <t xml:space="preserve">Zuidwestelijk akkerbouwgebied </t>
  </si>
  <si>
    <t xml:space="preserve">Zuidwest Brabant </t>
  </si>
  <si>
    <t xml:space="preserve">Zuidelijk veehouderijgebied </t>
  </si>
  <si>
    <t>Gemiddelde bedrijfsgrootte</t>
  </si>
  <si>
    <t>Kolom2</t>
  </si>
  <si>
    <t>Kolom3</t>
  </si>
  <si>
    <t>CO2 emissie per hectare - formules</t>
  </si>
  <si>
    <t>Kolom1</t>
  </si>
  <si>
    <t>Start</t>
  </si>
  <si>
    <t>Feit</t>
  </si>
  <si>
    <t>Veen - met onderwaterdrainage</t>
  </si>
  <si>
    <t>Veen met kleidek - zonder onderwaterdrainage</t>
  </si>
  <si>
    <t>Veen met kleidek - met onderwaterdrainage</t>
  </si>
  <si>
    <t>NO2 emissie per hectare - formules</t>
  </si>
  <si>
    <t>Verschuiving</t>
  </si>
  <si>
    <t>Grondgebruik &amp; teeltinvesteringen</t>
  </si>
  <si>
    <t xml:space="preserve">Grondgebruik </t>
  </si>
  <si>
    <t>Selectiemogelijkheid</t>
  </si>
  <si>
    <t xml:space="preserve">Eigendom </t>
  </si>
  <si>
    <t xml:space="preserve">Grondprijs </t>
  </si>
  <si>
    <t>Sterk regionaal afhankelijk, hier gerekend met standaardwaarden NL</t>
  </si>
  <si>
    <t xml:space="preserve">KWIN, 2020-2021 </t>
  </si>
  <si>
    <t>61.900 gemiddeld</t>
  </si>
  <si>
    <t>Kengetal - prijzen over 3 jaren, KWIN 2020-2021</t>
  </si>
  <si>
    <t>Rente lening</t>
  </si>
  <si>
    <t>Veenweiden Innovatiecentrum, 2021</t>
  </si>
  <si>
    <t>4%/2%/1%</t>
  </si>
  <si>
    <t>Teeltproef</t>
  </si>
  <si>
    <t xml:space="preserve">Aflossingstermijn </t>
  </si>
  <si>
    <t>Afhankelijk van eisen financier</t>
  </si>
  <si>
    <t>Van de Crommert Projects &amp; Innovations, 2021</t>
  </si>
  <si>
    <t>30/20/10</t>
  </si>
  <si>
    <t>Expert - Interview</t>
  </si>
  <si>
    <t>Restwaarde grond - %</t>
  </si>
  <si>
    <t>Grote aanname</t>
  </si>
  <si>
    <t>100%/65%/30%</t>
  </si>
  <si>
    <t>Teelt - Investeringen perceel</t>
  </si>
  <si>
    <t>Grondverzet - uren per hectare</t>
  </si>
  <si>
    <t>Mogelijk nodig: dijken, kades, plaggen, effenen, sleuf stroomkabel</t>
  </si>
  <si>
    <t>80/40/20</t>
  </si>
  <si>
    <t>Innovatie Programma Veen, 2021</t>
  </si>
  <si>
    <t>Grondverzet - prijs per uur</t>
  </si>
  <si>
    <t>Prijs loonwerker per uur inclusief machines &amp; arbeid</t>
  </si>
  <si>
    <t>120/95/70</t>
  </si>
  <si>
    <t>Expert - Interview, o.b.v. recente inhuur</t>
  </si>
  <si>
    <t>Berekening in selectietab</t>
  </si>
  <si>
    <t>-</t>
  </si>
  <si>
    <t>Grondtoevoer - kuub per hectare</t>
  </si>
  <si>
    <t xml:space="preserve">Max: dijk/kade rondom + midden, Gem: rondom ha, Min: rondom perceel </t>
  </si>
  <si>
    <t>Gem: 1 m3/strekkende meter brede dijk 4 meter</t>
  </si>
  <si>
    <t>Min: 0,125m3/strekkende meter smalle dijk</t>
  </si>
  <si>
    <t>Grondtoevoer - prijs per kuub</t>
  </si>
  <si>
    <t>5/3/2</t>
  </si>
  <si>
    <t>Expert - Interview, o.b.v. recente kosten</t>
  </si>
  <si>
    <t>Kengetal, KWIN 2020-2021</t>
  </si>
  <si>
    <t>Max: vaste kabelaansluiting, Gem: windmolen, Min: zonnepaneel</t>
  </si>
  <si>
    <t>Waterpeilbeheersing (schuiven, slibkisten, etc.)</t>
  </si>
  <si>
    <t>Afsluiters en schuiven €250,- / stuk</t>
  </si>
  <si>
    <t>250 per stuk</t>
  </si>
  <si>
    <t>2,50 / 3,00 per meter</t>
  </si>
  <si>
    <t>Overige kosten (bijv. folie)</t>
  </si>
  <si>
    <t>Vergunningsaanvraag</t>
  </si>
  <si>
    <t>Klaarmaken grond - grondbewerking</t>
  </si>
  <si>
    <t>750/250/65</t>
  </si>
  <si>
    <t>Klaarmaken grond - bodemverbeteraars/bemesting</t>
  </si>
  <si>
    <t>Plantmateriaal - prijs per m2</t>
  </si>
  <si>
    <t>Waarde Gem: 4 kleine plugs van 15 cent of 1 grote plug van 60 cent</t>
  </si>
  <si>
    <t>In onderzoek</t>
  </si>
  <si>
    <t>0,90/0,60/0,30</t>
  </si>
  <si>
    <t>0,75/0,50/0,25</t>
  </si>
  <si>
    <t>Plantkosten - machine</t>
  </si>
  <si>
    <t>Plantkosten - uren per hectare</t>
  </si>
  <si>
    <t>Plantkosten - prijs per uur</t>
  </si>
  <si>
    <t>Agrarisch medewerker: 25</t>
  </si>
  <si>
    <t>Plantkosten - arbeid totaal</t>
  </si>
  <si>
    <t>Zaaigoed</t>
  </si>
  <si>
    <t>Zaaikosten - machine + arbeid</t>
  </si>
  <si>
    <t>€133/ha</t>
  </si>
  <si>
    <t>Regionorm 2020</t>
  </si>
  <si>
    <t>RVO, 2020</t>
  </si>
  <si>
    <t>Jaarlijkse teeltkosten</t>
  </si>
  <si>
    <t>Gewasverzorging</t>
  </si>
  <si>
    <t>Meststoffen</t>
  </si>
  <si>
    <t>337/200</t>
  </si>
  <si>
    <t>Gewasbeschermingsmiddelen</t>
  </si>
  <si>
    <t>Lisdodde waarschijnlijk geen beschermingsmiddelen nodig</t>
  </si>
  <si>
    <t>75/50/14</t>
  </si>
  <si>
    <t>Ongediertebestrijding</t>
  </si>
  <si>
    <t>Dijkbeheer &amp; slootonderhoud</t>
  </si>
  <si>
    <t>8,88 uur / km sloot</t>
  </si>
  <si>
    <t>Medewerker - tarief per uur</t>
  </si>
  <si>
    <t>Manager - tarief per uur</t>
  </si>
  <si>
    <t>Agrarisch manager: 60</t>
  </si>
  <si>
    <t>Gewasverzorging - eigen arbeidsuren</t>
  </si>
  <si>
    <t>Gewasverzorging - uren inhuur derden</t>
  </si>
  <si>
    <t>Gewasverzorging - tarief inhuur derden</t>
  </si>
  <si>
    <t>Gewasverzorging - inhuur derden</t>
  </si>
  <si>
    <t>Energieverbruik en water</t>
  </si>
  <si>
    <t>Elektraverbruik irrigatie en peilbeheer</t>
  </si>
  <si>
    <t xml:space="preserve">Elektraverbruik overig </t>
  </si>
  <si>
    <t>Heffingen waterverbruik</t>
  </si>
  <si>
    <t>Belastingen en verzekeringen</t>
  </si>
  <si>
    <t>Waterschapsbelasting</t>
  </si>
  <si>
    <t>73,40/2,81</t>
  </si>
  <si>
    <t>Verzekeringen</t>
  </si>
  <si>
    <t>Onderhoud</t>
  </si>
  <si>
    <t>[% invest]</t>
  </si>
  <si>
    <t>Afschrijving &amp; aflossing teeltinvesteringen</t>
  </si>
  <si>
    <t>Rentepercentage (wel/geen lening)</t>
  </si>
  <si>
    <t>Afschrijvingstermijn - Investeringen perceel</t>
  </si>
  <si>
    <t>Teeltinvesteringen perceel - jaarlijkse afschrijving</t>
  </si>
  <si>
    <t>Afschrijvingstermijn - Plant/zaaikosten</t>
  </si>
  <si>
    <t>Plant/zaaikosten - jaarlijkse afschrijving</t>
  </si>
  <si>
    <t>Gewastype</t>
  </si>
  <si>
    <t>Kleine Lisdodde</t>
  </si>
  <si>
    <t>Gewasopbrengsten grote lisdodde</t>
  </si>
  <si>
    <t>Gehele plant - februari/maart</t>
  </si>
  <si>
    <t xml:space="preserve">Actueel IPV 2021: 3 ton DS per ha o.b.v. 35-40% begroeid oppervlak </t>
  </si>
  <si>
    <t>15/12/9</t>
  </si>
  <si>
    <t>Radboud Universiteit &amp; Louis Bolk Instituut</t>
  </si>
  <si>
    <t>12 tot 15</t>
  </si>
  <si>
    <t>Wetenschappelijke metingen</t>
  </si>
  <si>
    <t>Blad &amp; stengelmateriaal - februari/maart</t>
  </si>
  <si>
    <t>Pluis - gewicht pluis per aar in grammen</t>
  </si>
  <si>
    <t>[g DS/aar]</t>
  </si>
  <si>
    <t>25/20/15</t>
  </si>
  <si>
    <t>Pluis - aren per m2</t>
  </si>
  <si>
    <t>12/10/8</t>
  </si>
  <si>
    <t>Gewasopbrengsten kleine lisdodde</t>
  </si>
  <si>
    <t xml:space="preserve">Veldhakselaar wetland </t>
  </si>
  <si>
    <t xml:space="preserve">Klepelbak wetland </t>
  </si>
  <si>
    <t xml:space="preserve">Maai-zuigcombinatie wetland </t>
  </si>
  <si>
    <t>Maai-korfcombinatie</t>
  </si>
  <si>
    <t>Alternatief 1</t>
  </si>
  <si>
    <t>Alternatief 2</t>
  </si>
  <si>
    <t xml:space="preserve">Transportvoertuig op veld </t>
  </si>
  <si>
    <t xml:space="preserve">Overladen </t>
  </si>
  <si>
    <t xml:space="preserve">Transport veld-opslag </t>
  </si>
  <si>
    <t xml:space="preserve">Arenstripper wetland </t>
  </si>
  <si>
    <t>Bewaarmethode - Plant/blad &amp; stengelmateriaal</t>
  </si>
  <si>
    <t>Inkuilen - anaerobe fermentatie</t>
  </si>
  <si>
    <t>35 euro p/t/DS maïs</t>
  </si>
  <si>
    <t>Vierkant balen &amp; wikkelen</t>
  </si>
  <si>
    <t>83 p/t/DS</t>
  </si>
  <si>
    <t xml:space="preserve">Persen - verdichten vers </t>
  </si>
  <si>
    <t>Expert, interview</t>
  </si>
  <si>
    <t>Gemiddeld 4 big bags/uur à €85 p/u | €10/big bag |100 kg/big bag</t>
  </si>
  <si>
    <t>4bb/u-85p/u-€10/bb-100kg/bb</t>
  </si>
  <si>
    <t xml:space="preserve">Drogen + geperste balen </t>
  </si>
  <si>
    <t>Opslag - Plant/blad &amp; stengelmateriaal</t>
  </si>
  <si>
    <t xml:space="preserve">Bulk opslag - buiten onverhard </t>
  </si>
  <si>
    <t>Bulk opslag - buiten verhard</t>
  </si>
  <si>
    <t>14/8/5</t>
  </si>
  <si>
    <t xml:space="preserve">Bulk opslag - buiten sleufsilo </t>
  </si>
  <si>
    <t>Bulk opslag - balen buiten zonder afdekking</t>
  </si>
  <si>
    <t>Bulk opslag - balen buiten met afdekking</t>
  </si>
  <si>
    <t xml:space="preserve">DS inhoud balen </t>
  </si>
  <si>
    <t xml:space="preserve">Ronde baal standaard (⌀ 125 cm) </t>
  </si>
  <si>
    <t xml:space="preserve">1,47 m3 </t>
  </si>
  <si>
    <t>Landwirt Pressenvergleich, 2021</t>
  </si>
  <si>
    <t>126 kg DS / m3 gemiddeld</t>
  </si>
  <si>
    <t>Kengetal Gerstenstroh, Landwirt Pressenvergleich</t>
  </si>
  <si>
    <t xml:space="preserve">Ronde baal groot (⌀ 150 cm) </t>
  </si>
  <si>
    <t>2,12 m3</t>
  </si>
  <si>
    <t>Vierkante baal (120 x 70 x 150 cm)</t>
  </si>
  <si>
    <t>1,26 m3</t>
  </si>
  <si>
    <t xml:space="preserve">185 kg DS / m3 gemiddeld </t>
  </si>
  <si>
    <t>1,62 m3</t>
  </si>
  <si>
    <t>Bewaarmethode - Pluis</t>
  </si>
  <si>
    <t>Gemiddeld 4 big bags/uur à €85 p/u machine + arbeid | €10/big bag |100 kg/big bag</t>
  </si>
  <si>
    <t>DS inhoud big bag</t>
  </si>
  <si>
    <t>[kg DS/big bag]</t>
  </si>
  <si>
    <t>Verbruggen Paddenstoelen, 2021</t>
  </si>
  <si>
    <t>Big bag standaard 1,5 m3</t>
  </si>
  <si>
    <t>100 kg gemiddeld</t>
  </si>
  <si>
    <t>Big bag standaard 2 m3</t>
  </si>
  <si>
    <t>Opslag - Pluis</t>
  </si>
  <si>
    <t>Drogestofgehalte input (feb/mrt)</t>
  </si>
  <si>
    <t>70%/60%/50%</t>
  </si>
  <si>
    <t>Kleine: 60%, Grote: 50%</t>
  </si>
  <si>
    <t xml:space="preserve">Drogestofgehalte output </t>
  </si>
  <si>
    <t>90% droge stof nodig voor houdbaarheid tijdens opslag</t>
  </si>
  <si>
    <t>90% DS nodig voor opslag</t>
  </si>
  <si>
    <t>Bruto inkoopprijs producten</t>
  </si>
  <si>
    <t>Nu: 300 p/t/DS tbv pilotproductie. Hogere prijs mogelijk bij opschaling</t>
  </si>
  <si>
    <t>Indicatie marktpartij</t>
  </si>
  <si>
    <t>Typha Technik, 2020</t>
  </si>
  <si>
    <t>900/600/300</t>
  </si>
  <si>
    <t>Marktpartij - Pilot-productie</t>
  </si>
  <si>
    <t>Wageningen Food &amp; Biobased Research, 2021</t>
  </si>
  <si>
    <t>Productonderzoek i.o.v. IPV/VIC</t>
  </si>
  <si>
    <t>Gebaseerd op inkoopprijs cellulose-isolatie</t>
  </si>
  <si>
    <t>Bouwgroep Dijkstra Draisma, 2021</t>
  </si>
  <si>
    <t>1500/1200/950</t>
  </si>
  <si>
    <t>Marktpartij - Productontwikkeling - Uitgangspunt: https://www.warmteplan.nl/product-pagina/isofloc-cellulose-isolatie/</t>
  </si>
  <si>
    <t xml:space="preserve">Bouw - Particle board </t>
  </si>
  <si>
    <t xml:space="preserve">Bouw - Binderless board </t>
  </si>
  <si>
    <t>Bouw - Cellulose fibre board (ECOR)</t>
  </si>
  <si>
    <t>Waarde MIN o.b.v. papierpulp, hoger indien betere eigenschappen</t>
  </si>
  <si>
    <t>ECOR, 2021</t>
  </si>
  <si>
    <t>200/100/50</t>
  </si>
  <si>
    <t>Marktpartij - Interview</t>
  </si>
  <si>
    <t>Bouw - Beton - Vuller</t>
  </si>
  <si>
    <t>Kale prijs zonder vergoeding kosten verwerking is 120 euro per ton</t>
  </si>
  <si>
    <t>E-concreed, 2021</t>
  </si>
  <si>
    <t>225/175/125</t>
  </si>
  <si>
    <t>Bruil Beton &amp; Mix, 2021</t>
  </si>
  <si>
    <t>1790/1290/800</t>
  </si>
  <si>
    <t>Marktpartij - Producttest februari 2021</t>
  </si>
  <si>
    <t>Rodenburg Biopolymers, 2021</t>
  </si>
  <si>
    <t>500/300/100</t>
  </si>
  <si>
    <t>Plastics - Composiet matrix</t>
  </si>
  <si>
    <t xml:space="preserve">Papier - Moulded fibre </t>
  </si>
  <si>
    <t xml:space="preserve">Papier - Decoratie </t>
  </si>
  <si>
    <t>Substraat - Oesterzwammen</t>
  </si>
  <si>
    <t>150/100/50</t>
  </si>
  <si>
    <t>Substraat - Turf &amp; veenvervangers</t>
  </si>
  <si>
    <t>300/200/100</t>
  </si>
  <si>
    <t xml:space="preserve">Producteisen </t>
  </si>
  <si>
    <t>DS-gehalte</t>
  </si>
  <si>
    <t>Fractielengte [mm]</t>
  </si>
  <si>
    <t>Fractiediameter (mm)</t>
  </si>
  <si>
    <t>[-]</t>
  </si>
  <si>
    <t>3-6</t>
  </si>
  <si>
    <t>80%/700/3-6</t>
  </si>
  <si>
    <t>5-50</t>
  </si>
  <si>
    <t>90%/5-50/5-50</t>
  </si>
  <si>
    <t>Marktpartij - Productontwikkeling</t>
  </si>
  <si>
    <t>Gebaseerd op isolatieplaat Typha Board, bron Typha Technik</t>
  </si>
  <si>
    <t>n.t.b.</t>
  </si>
  <si>
    <t>0,5-2,5</t>
  </si>
  <si>
    <t>0,1-0,25</t>
  </si>
  <si>
    <t>Verschillende verwerkingopties: vezelpulp of -extractie, plantfractie</t>
  </si>
  <si>
    <t>50%/0,5-2,5/0,1-0,25</t>
  </si>
  <si>
    <t>15-20</t>
  </si>
  <si>
    <t>83%/15-20/15-20</t>
  </si>
  <si>
    <t>Gehele pluis</t>
  </si>
  <si>
    <t>98%/gehele pluis/gehele pluis</t>
  </si>
  <si>
    <t>0,1-0,35</t>
  </si>
  <si>
    <t>0,1</t>
  </si>
  <si>
    <t>97%/0,1-0,35/0,1</t>
  </si>
  <si>
    <t>Gebaseerd op vuller spuitgieten, bron Rodenburg Biopolymers</t>
  </si>
  <si>
    <t>Gebaseerd op vuller massief karton, bron ESKA</t>
  </si>
  <si>
    <t>90%/0,5-2,5/0,1-0,25</t>
  </si>
  <si>
    <t>100-500</t>
  </si>
  <si>
    <t>80%/100-500</t>
  </si>
  <si>
    <t>Keuze droogstap</t>
  </si>
  <si>
    <t>Drogen - Kosten</t>
  </si>
  <si>
    <t>[€/t waterverdamping]</t>
  </si>
  <si>
    <t xml:space="preserve">Droogsysteem - actief drogen </t>
  </si>
  <si>
    <t>Bollendrogerij (lage temperatuur)</t>
  </si>
  <si>
    <t>Drogen - Producteffciency</t>
  </si>
  <si>
    <t>90%/88%/86%</t>
  </si>
  <si>
    <t>Droogproef</t>
  </si>
  <si>
    <t>Verwerking - Kosten</t>
  </si>
  <si>
    <t xml:space="preserve">Wassen </t>
  </si>
  <si>
    <t>Mechanische scheiding</t>
  </si>
  <si>
    <t xml:space="preserve">Composteren </t>
  </si>
  <si>
    <t xml:space="preserve">Pasteuriseren </t>
  </si>
  <si>
    <t>Thermische ontsluiting</t>
  </si>
  <si>
    <t>Mechanische ontsluiting</t>
  </si>
  <si>
    <t xml:space="preserve">Biologische ontsluiting </t>
  </si>
  <si>
    <t>Impregneren</t>
  </si>
  <si>
    <t>Alternatief 3</t>
  </si>
  <si>
    <t>Verwerking - Producteffciency</t>
  </si>
  <si>
    <t>Kosten verwerking reststroom</t>
  </si>
  <si>
    <t>Overige ecosysteemdiensten</t>
  </si>
  <si>
    <t>Nog geen beleid</t>
  </si>
  <si>
    <t>Overige inkomsten 1</t>
  </si>
  <si>
    <t>Overige inkomsten 2</t>
  </si>
  <si>
    <t>Inkomsten CO2 certifcaten</t>
  </si>
  <si>
    <t>CO2 certificaten</t>
  </si>
  <si>
    <t>Natuur- en Milieufederatie Friesland, 2021</t>
  </si>
  <si>
    <t>60/40/20</t>
  </si>
  <si>
    <t>Project Valuta voor Veen, https://www.nieuweoogst.nl/nieuws/2020/06/30/co2-reductie-levert-bijna-800-euro-per-hectare-op</t>
  </si>
  <si>
    <t>Inkomsten GLB</t>
  </si>
  <si>
    <t>Concept GLB - peil -30 tot 0</t>
  </si>
  <si>
    <t>Concept beleid</t>
  </si>
  <si>
    <t>Ministerie LNV, 2021</t>
  </si>
  <si>
    <t>Concept beleidsnota GLB</t>
  </si>
  <si>
    <t>Concept GLB - peil -30 tot -21</t>
  </si>
  <si>
    <t xml:space="preserve">Enige aanname </t>
  </si>
  <si>
    <t>Overige inkomsten 3</t>
  </si>
  <si>
    <t>Overige inkomsten 4</t>
  </si>
  <si>
    <t>Overige inkomsten 5</t>
  </si>
  <si>
    <t>Overige inkomsten 6</t>
  </si>
  <si>
    <t>CO2-emissies</t>
  </si>
  <si>
    <t>CO2-emissies - vaste waarden</t>
  </si>
  <si>
    <t>Dijkbeheer &amp; slootonderhoud - uren</t>
  </si>
  <si>
    <t>Ongediertebestrijding - uren</t>
  </si>
  <si>
    <t>Ongediertebestrijding - tarief</t>
  </si>
  <si>
    <t>Dijkbeheer &amp; slootonderhoud - tarief</t>
  </si>
  <si>
    <t>Gewasverzorging - uren medewerker</t>
  </si>
  <si>
    <t xml:space="preserve">Gewasverzorging - uren management </t>
  </si>
  <si>
    <t>150 p/u voor oogst in feb '21</t>
  </si>
  <si>
    <t>CO2 reductie - totaal</t>
  </si>
  <si>
    <t>CO2-emissie - per regio</t>
  </si>
  <si>
    <t>Bedrijfsgrootte in hectares - per regio</t>
  </si>
  <si>
    <t>Pachtprijs - per regio</t>
  </si>
  <si>
    <t>[t CO2-eq/ha/a]</t>
  </si>
  <si>
    <t xml:space="preserve">CO2-emissies - Berekend </t>
  </si>
  <si>
    <t>Afrastering &amp; vraatbescherming</t>
  </si>
  <si>
    <t>Meststoffen op water niet toegestaan, dus 'Geen' ook optie</t>
  </si>
  <si>
    <t>65/55/45</t>
  </si>
  <si>
    <t>50/25/10</t>
  </si>
  <si>
    <t>75/50/10</t>
  </si>
  <si>
    <t>100/75/25</t>
  </si>
  <si>
    <t>5%/3%/1%</t>
  </si>
  <si>
    <t>10%/5%/2,5%</t>
  </si>
  <si>
    <t>15%/10%/5%</t>
  </si>
  <si>
    <t>20/10/5</t>
  </si>
  <si>
    <t>Balen persen zit in prijs bij drogen bij grasdrogerij</t>
  </si>
  <si>
    <t>In prijs drogen grasdrogerij</t>
  </si>
  <si>
    <t>3/1/1</t>
  </si>
  <si>
    <t>Factor 1,5 t.o.v. kuilplaat/buiten verhard</t>
  </si>
  <si>
    <t>Factor 1,5 t.o.v. kuilplaat</t>
  </si>
  <si>
    <t>2/1,50/1</t>
  </si>
  <si>
    <t>2,5/2/1,5</t>
  </si>
  <si>
    <t>65 kg gemiddeld</t>
  </si>
  <si>
    <t>130 kg gemiddeld</t>
  </si>
  <si>
    <t>0,15/0,12/0,10</t>
  </si>
  <si>
    <t>0,05/0,04/0,03</t>
  </si>
  <si>
    <t>600/550/500</t>
  </si>
  <si>
    <t>500/450/400</t>
  </si>
  <si>
    <t>500/400/300</t>
  </si>
  <si>
    <t>100%/95%/90%</t>
  </si>
  <si>
    <t>100%/90%/85%</t>
  </si>
  <si>
    <t>10/7,50/5</t>
  </si>
  <si>
    <t>22,50/15/10</t>
  </si>
  <si>
    <t>25/17,50/12,50</t>
  </si>
  <si>
    <t>27,50/20/15</t>
  </si>
  <si>
    <t>30/22,50/17,50</t>
  </si>
  <si>
    <t>145 euro per ton gemiddeld</t>
  </si>
  <si>
    <t>10/5/2,50</t>
  </si>
  <si>
    <t>20/10/7,50</t>
  </si>
  <si>
    <t>4 uur voor oogst in feb '21</t>
  </si>
  <si>
    <t>1,2 ha/uur mais</t>
  </si>
  <si>
    <t>Machine &amp; arbeid per uur</t>
  </si>
  <si>
    <t>Oogst - uren per ha - Gehele plant/blad &amp; stengelmateriaal</t>
  </si>
  <si>
    <t>Oogst - tarief - Gehele plant/blad &amp; stengelmateriaal</t>
  </si>
  <si>
    <t>Veld &amp; opslaglogistiek - tarief - Gehele plant/blad &amp; stengelmateriaal</t>
  </si>
  <si>
    <t>Oogst - tarief - Pluis</t>
  </si>
  <si>
    <t>Oogst - uren per ha - Pluis</t>
  </si>
  <si>
    <t xml:space="preserve">Veld &amp; opslaglogistiek - tarief - Pluis </t>
  </si>
  <si>
    <t>317 gemiddeld</t>
  </si>
  <si>
    <t>Waarde Max incl. folie à 5500</t>
  </si>
  <si>
    <t>Agrimatie, 2020</t>
  </si>
  <si>
    <t>Agrimatie: https://www.agrimatie.nl/Binternet.aspx?ID=15&amp;Bedrijfstype=1&amp;SelectedJaren=2020%402019%402018%402017&amp;GroteKlassen=Alle+bedrijven</t>
  </si>
  <si>
    <t>1407/1224/1028</t>
  </si>
  <si>
    <t>125/110/100</t>
  </si>
  <si>
    <t>95/85/75</t>
  </si>
  <si>
    <t>Gelijk aan veldhakselaar standaard</t>
  </si>
  <si>
    <t>Gelijk aan veldhakselaar stand.</t>
  </si>
  <si>
    <t>Gelijk aan klepelbak wetland</t>
  </si>
  <si>
    <t>Iets hoger als klepelbak wetland</t>
  </si>
  <si>
    <t>45/35/25</t>
  </si>
  <si>
    <t>25/10/5</t>
  </si>
  <si>
    <t>185/175/165</t>
  </si>
  <si>
    <t>Veld &amp; opslaglogistiek - totaal</t>
  </si>
  <si>
    <t>Veld &amp; opslaglogistiek - uren per ha</t>
  </si>
  <si>
    <t>Oogsten - totaal</t>
  </si>
  <si>
    <t>Oogsten - uren per hectare</t>
  </si>
  <si>
    <t>Oogstkosten - Gehele plant/blad &amp; stengelmateriaal</t>
  </si>
  <si>
    <t>Oogstkosten - Pluis</t>
  </si>
  <si>
    <t>Natuurbeheerpakket</t>
  </si>
  <si>
    <t>8%/5%/2%</t>
  </si>
  <si>
    <t>Rapport: Recycling van papier en karton in Nederland in 2019: 
https://www.kcpk.nl/wp-content/uploads/2020/05/Recycling-van-papier-en-karton-in-Nederland-in-2019-def.pdf</t>
  </si>
  <si>
    <t>Waarde Max is inclusief folie</t>
  </si>
  <si>
    <t>Waarde Max is inclusief laser tegen ganzenvraat</t>
  </si>
  <si>
    <t>Aanschaf laser: 12.000</t>
  </si>
  <si>
    <t>&lt;0,6</t>
  </si>
  <si>
    <t>Schut Papier, 2021</t>
  </si>
  <si>
    <t>Marktpartij - Mogelijke producttest</t>
  </si>
  <si>
    <t>0 tot 300, soms 700</t>
  </si>
  <si>
    <t xml:space="preserve">Spreiding kosten afhankelijk van piek/dalbezetting machine </t>
  </si>
  <si>
    <t xml:space="preserve">Kosten te verlagen door drogen aansluitend aan grasseizoen </t>
  </si>
  <si>
    <t>Louis Bolk Instituut, 2018</t>
  </si>
  <si>
    <t>Rapport 'Voorstudie Klimaatmax bedrijf' i.o.v. VIC - https://www.veenweiden.nl/wp-content/uploads/2019/03/Rapportage-voorstudie-Klimaatmax-bedrijf.pdf</t>
  </si>
  <si>
    <t>Afhankelijk van type gewas, schoorsteenfunctie van lisdodde leidt</t>
  </si>
  <si>
    <t xml:space="preserve">tot meer ontsnappen methaan, in ieder geval in eerste jaren bij </t>
  </si>
  <si>
    <t>naar (bijna) 0, indien geen bemesting, anders wel lachgasemissie.</t>
  </si>
  <si>
    <t>Bij vernatten veen (d.m.v. natte teelt) daalt CO2- en lachgasemissie</t>
  </si>
  <si>
    <t>Methaanemissie stijgt echter wel bij hogere waterstand naar 15 ton</t>
  </si>
  <si>
    <t>CO2-eq. per hectare. Maakt saldo emissie 15 ton CO2-eq. per ha.</t>
  </si>
  <si>
    <t>jong gewas. Effecten van langdurige natte teelt (10jr) niet bekend,</t>
  </si>
  <si>
    <t xml:space="preserve">in ieder geval reductie van methaanuitstoot verwacht. </t>
  </si>
  <si>
    <t xml:space="preserve">Dit is zeer gemiddeld, er zijn grote variaties per locatie gemeten. </t>
  </si>
  <si>
    <t>Afhankelijk van type veenbodem, waaronder wel/geen klei.</t>
  </si>
  <si>
    <t>30/15/15</t>
  </si>
  <si>
    <t xml:space="preserve">Onderzoeken in volle gang, o.a. door NOBV. Voor doel van dit </t>
  </si>
  <si>
    <t>Uitstoot CO2-eq. van de gemiddelde uitgangssituatie is 30 ton p/ha.</t>
  </si>
  <si>
    <t>verdienmodel is de gemiddelde situatie voor alle regio's genomen.</t>
  </si>
  <si>
    <t>Vaste waarden</t>
  </si>
  <si>
    <t>Alterra (Jansen, Hendriks, Kwakernaak), 2009</t>
  </si>
  <si>
    <t>Rapport 'Behoud van veenbodems door ander peilbeheer' - https://library.wur.nl/WebQuery/wurpubs/fulltext/139962</t>
  </si>
  <si>
    <t>Richtingscoëfficiënt</t>
  </si>
  <si>
    <t>Coëf. 3,83/Start 2,56</t>
  </si>
  <si>
    <t>Coëf. 7,41/Start 0,21</t>
  </si>
  <si>
    <t>Coëf. 2,30/Start 1,99</t>
  </si>
  <si>
    <t>Coëf. 3,70/Start 1,19</t>
  </si>
  <si>
    <t>Coëf. -3,52/Ver. 3,97/Start 0,34</t>
  </si>
  <si>
    <t>Coëf. -3,03/Ver. 4,12/Start 0,06</t>
  </si>
  <si>
    <t>Coëf. -4,06/Ver. 3,68/Start 0,23</t>
  </si>
  <si>
    <t>Coëf. -3,47/Ver. 3,26/Start 0,27</t>
  </si>
  <si>
    <t>25% hoger in prijs dan verdichten i.v.m. extra stap vacuüm trekken</t>
  </si>
  <si>
    <t>150 kilo droge stof per kuub, 100% vezels per ton</t>
  </si>
  <si>
    <t>Vacuüm/compacteren</t>
  </si>
  <si>
    <t>25% duurder dan verdichten</t>
  </si>
  <si>
    <t>113,70 gemiddeld per hectare</t>
  </si>
  <si>
    <t>GLB - basisbetaling</t>
  </si>
  <si>
    <t>GLB - vergroeningsbetaling</t>
  </si>
  <si>
    <t>200 gem. p/ha over heel bedrijf</t>
  </si>
  <si>
    <t>50 gem. p/ha over heel bedrijf</t>
  </si>
  <si>
    <t>Contracten met waterschappen nog niet veel voorkomend</t>
  </si>
  <si>
    <t>Nog niet vergoed</t>
  </si>
  <si>
    <t>Nog niet vergoed: o.a. uitmijnen bodem, waterzuivering, biodiversiteit</t>
  </si>
  <si>
    <t>Natuurbeheerpakketten voor lisdoddepercelen nog niet vastgesteld</t>
  </si>
  <si>
    <t>262,91 gemiddeld per hectare</t>
  </si>
  <si>
    <t>Landelijk gemiddelde, verschilt per individueel bedrijf</t>
  </si>
  <si>
    <t>2160/744/161</t>
  </si>
  <si>
    <t>Max: crop lease, Gem: long lease, Min: nature lease</t>
  </si>
  <si>
    <t>inkomen uit melkveebedrijf 2020 68.400 gedeeld door aantal ha</t>
  </si>
  <si>
    <t>Bruto verhuur min grondkosten, GLB-recht, mestrechten, landbouwvrijstelling, fiscale lasten, etc.</t>
  </si>
  <si>
    <t>VLB, 2018</t>
  </si>
  <si>
    <t>Bruto 6000/5000 minus kosten</t>
  </si>
  <si>
    <t>Artikel Vereniging Accountants &amp; Belastingadviesbureaus: https://vlb.nl/zonneparken-hoge-opbrengsten-maar-ook-hoge-kosten-2/</t>
  </si>
  <si>
    <t>Referentie inkomsten - netto bedrijfsresultaten</t>
  </si>
  <si>
    <t>*Noot: de getoonde referentie inkomsten zijn zoveel mogelijk als netto bedrijfsresultaat bepaald</t>
  </si>
  <si>
    <t xml:space="preserve"> t.b.v. een goede vergelijking. De vergelijking is niet volledig één-op-één te maken i.v.m. andere </t>
  </si>
  <si>
    <t>onderliggende kostenstructuren en fiscale regels.</t>
  </si>
  <si>
    <t>Lagere energiekosten dan grasdrogerij, maar wel arbeidsintensiever</t>
  </si>
  <si>
    <t>Minder energie, meer arbeid</t>
  </si>
  <si>
    <t>&lt;0,6mm/&lt;0,6mm</t>
  </si>
  <si>
    <t>Droge stofgehalte 90%</t>
  </si>
  <si>
    <t>Antwoorden kernvragen</t>
  </si>
  <si>
    <t>Helft van grote lisdodde</t>
  </si>
  <si>
    <t>Riet oogstmachine (op rupsbanden)</t>
  </si>
  <si>
    <t>Machine &amp; arbeid per uur, 25% hoger dan veldhakselaar standaard</t>
  </si>
  <si>
    <t>25% hoger dan stand. hakselaar</t>
  </si>
  <si>
    <t>O.b.v. verrichte metingen</t>
  </si>
  <si>
    <t>Helft van grote lisdodde, o.b.v. verrichte metingen</t>
  </si>
  <si>
    <t>Gem. per 5 hectare 1 uur p/wk</t>
  </si>
  <si>
    <t>O.a. watermanagement/peilbeheer, gewascontrole, evt. bemesten</t>
  </si>
  <si>
    <t>10% van arbeidsuren</t>
  </si>
  <si>
    <t>3x p/jr dijken maaien, 1-3 uur p/keer, evt. geen sloot bij lisdodde</t>
  </si>
  <si>
    <t>Deels in controleronde gewasverzorging, extra uren ganzen verjagen</t>
  </si>
  <si>
    <t>Ganzen verjagen, varieert per locatie</t>
  </si>
  <si>
    <t>↳ Controle gaat per perceel, dus per hectare minder</t>
  </si>
  <si>
    <t xml:space="preserve">↳ Gem. per 5 hectare 1 uur p/wk, afhankelijk van mate automatisering </t>
  </si>
  <si>
    <t>↳ Geen pesticiden nodig bij lisdodde, dus niet in uren opgenomen</t>
  </si>
  <si>
    <t>↳ Bestaande uit controleronde 2x p/wk à 10min. + eenmalig ingrijpen</t>
  </si>
  <si>
    <t>Lisdodde waarschijnlijk niet nodig, dus 'Geen' ook optie</t>
  </si>
  <si>
    <t>Enkel eenmaal kort maaien voor planten</t>
  </si>
  <si>
    <t>KWIN: trekker en werktuig, VIC: enkel eenmaal kort maaien</t>
  </si>
  <si>
    <t>Project Veen, Voer &amp; Verder</t>
  </si>
  <si>
    <t>3 personen 10-15 uur per hectare</t>
  </si>
  <si>
    <t>3 personen 10-15 uur p/hectare</t>
  </si>
  <si>
    <t>Machinekosten 45 euro per uur</t>
  </si>
  <si>
    <t>Onderzoeken nodig, bijv. voor waterschap, ecologische begeleiding</t>
  </si>
  <si>
    <t>Onderzoeken nodig</t>
  </si>
  <si>
    <t>inkomen uit melkveebedrijf 2020 68.400, gedeeld door aantal ha</t>
  </si>
  <si>
    <t>Inkomsten CO2-certificaten</t>
  </si>
  <si>
    <t>Excl. overige inkomsten, CO2-c. &amp; beoogde GLB</t>
  </si>
  <si>
    <t>Excl. CO2-c. &amp; beoogde GLB vernatten veen</t>
  </si>
  <si>
    <t>Res. productverkoop, GLB st. &amp; overige</t>
  </si>
  <si>
    <t>Res. productv., GLB st., overige &amp; CO2-c.</t>
  </si>
  <si>
    <t>Rekentool verdienmodel lisdoddeteelt - Voorblad - Methode, scope, conclusies &amp; vervolg</t>
  </si>
  <si>
    <t>Rekentool verdienmodel lisdoddeteelt - Scenario 1 - Gemiddeld</t>
  </si>
  <si>
    <t>Rekentool verdienmodel lisdoddeteelt - Marktomvang - Nederland</t>
  </si>
  <si>
    <t>Rekentool verdienmodel lisdoddeteelt - Data - Variabelen &amp; waarden</t>
  </si>
  <si>
    <t>Excl. overige inkomsten, CO2-c. &amp; GLB-subsidie</t>
  </si>
  <si>
    <t>Productverk., GLB st., overige &amp; CO2-c.</t>
  </si>
  <si>
    <t>Per ton vermeden CO2-eq.</t>
  </si>
  <si>
    <t>O.b.v. productverkoop</t>
  </si>
  <si>
    <t>Inkomsten totaal</t>
  </si>
  <si>
    <t>Kostenneutraal</t>
  </si>
  <si>
    <t>Bij gelijkblijvende kosten, hectares &amp; gewasopbrengst</t>
  </si>
  <si>
    <t>Bij gelijkblijvende kosten, verkoopprijs &amp; gewasopbrengst</t>
  </si>
  <si>
    <t>Bij gelijkblijvende kosten, hectares &amp; verkoopprijs</t>
  </si>
  <si>
    <t>O.b.v. productverkoop, GLB st. &amp; overige</t>
  </si>
  <si>
    <t>O.b.v. productv., GLB st., overige &amp; CO2-c.</t>
  </si>
  <si>
    <t>O.b.v. productv., GLB beide, overige &amp; CO2</t>
  </si>
  <si>
    <t>Productverk., GLB beide, overige &amp; CO2</t>
  </si>
  <si>
    <t>Minimaal inkomen (netto bedrijfsresultaat)</t>
  </si>
  <si>
    <t>Kostenneutraal + minimaal inkomen</t>
  </si>
  <si>
    <t>Minimale aantal hectares - t.b.v. kostenneutraal</t>
  </si>
  <si>
    <t>Minimale aantal hectares - t.b.v. kostenneutraal &amp; minimaal inkomen</t>
  </si>
  <si>
    <t>Minimale ton droge stof - t.b.v. kostenneutraal</t>
  </si>
  <si>
    <t>Minimale ton droge stof - t.b.v. kostenneutraal &amp; minimaal inkomen</t>
  </si>
  <si>
    <t>Reden</t>
  </si>
  <si>
    <t>Uitgangssituatie</t>
  </si>
  <si>
    <t>Uitgangspunt</t>
  </si>
  <si>
    <t>Eigendomssituatie</t>
  </si>
  <si>
    <t>Pacht</t>
  </si>
  <si>
    <t>Individuele eigendomssituaties kunnen zeer verschillen. Dit blijkt ook uit de calculaties in dit model. De pachtprijs biedt daarom de meest representatieve, algemeen geldende waarde per regio.</t>
  </si>
  <si>
    <t xml:space="preserve">Let op: de keuze voor de pachtprijs leidt tot een positievere uitkomst in het model. De pachtprijzen zijn daarnaast vaste waarden met RVO als bron, waardoor hierin niet gerekend wordt met mogelijke afwaardering van de grondwaarde. </t>
  </si>
  <si>
    <t>Lening</t>
  </si>
  <si>
    <t>Financiering teeltinvesteringen</t>
  </si>
  <si>
    <t>Bemesting</t>
  </si>
  <si>
    <t>Gewasbescherming</t>
  </si>
  <si>
    <t>Geen/minimaal</t>
  </si>
  <si>
    <t>Het wel of niet nodig zijn van bemesten is nog in onderzoek, maar lijkt niet van prominent belang. In ieder geval is bemesten op water verboden. Daarom in scenario's 'Beste geval' en 'Gemiddeld' niet bemesten als uitgangspunt en in scenario 'Slechtste geval' minimaal bemesten.</t>
  </si>
  <si>
    <t xml:space="preserve">De lisdodde heeft een hoog eigen beschermingsmechanisme. Gewasbeschermingsmiddelen blijken uit de teeltonderzoeken niet nodig te zijn. </t>
  </si>
  <si>
    <t>Klaarmaken grond</t>
  </si>
  <si>
    <t>Minimaal</t>
  </si>
  <si>
    <t>Het klaarmaken van de grond voor planten of zaaien, na eventueel voorafgaand grondverzet voor de perceelinrichting, blijkt uit de teeltonderzoeken minimaal te zijn.</t>
  </si>
  <si>
    <t>Gespreid</t>
  </si>
  <si>
    <t>Zie toelichting reden aantal vaste uitgangspunten in Handleiding in Voorblad.</t>
  </si>
  <si>
    <t>In het model is de mogelijkheid opgenomen om de CO2-emissies per individueel perceel te berekenen. De onderliggende variabelen hiervoor zijn echter nog zeer onzeker. Vandaar dat vaste waarden geselecteerd zijn. De vaste waarden zijn gebaseerd op de actuele algemene inzichten.</t>
  </si>
  <si>
    <t>Pachtprijs</t>
  </si>
  <si>
    <t>Regionormen en veranderpercentages voor los land 2019 en 2020: https://www.rvo.nl/sites/default/files/2020/07/Regionormen-en-veranderpercentages-voor-los-land-2019-en-2020.pdf</t>
  </si>
  <si>
    <t xml:space="preserve">Hollands/Utrechts weidegebied </t>
  </si>
  <si>
    <t xml:space="preserve">Veenkoloniën en Oldambt </t>
  </si>
  <si>
    <t>Zuid-Limburg</t>
  </si>
  <si>
    <t>De pachtprijs van het Hollands/Utrechts weidegebied zit enigszins boven het gemiddelde. Het representeert daarmee een realistische pachtprijs, incl. eventuele aanpassing door verandering van grasland naar natte teelt. Daarnaast is het de regio waarin Veenweiden Innovatiecentrum is gelegen.</t>
  </si>
  <si>
    <t>Jaarlijkse kosten</t>
  </si>
  <si>
    <t>Samenvatting teelt</t>
  </si>
  <si>
    <t>Investeringen</t>
  </si>
  <si>
    <t>Teeltinvesteringen</t>
  </si>
  <si>
    <t>Plant/zaai-investeringen</t>
  </si>
  <si>
    <t xml:space="preserve">Gezien de hoogte van de teeltinvesteringen kan niet aangenomen worden dat dit uit het eigen vermogen gefinancierd kan worden. Vandaar de keuze voor een lening als uitgangspunt. </t>
  </si>
  <si>
    <t>Grondtoevoer - totaal</t>
  </si>
  <si>
    <t>Grondverzet - totaal</t>
  </si>
  <si>
    <t>Planten/zaaien</t>
  </si>
  <si>
    <t>Planten</t>
  </si>
  <si>
    <t>De zaaiproeven in de teeltprojecten hebben nog niet voldoende zekere resultaten om uit te kunnen gaan van zaaien als goede teeltmethode.</t>
  </si>
  <si>
    <t>Plantmateriaal - totaal</t>
  </si>
  <si>
    <t>Gewas</t>
  </si>
  <si>
    <t>Kleine lisdodde</t>
  </si>
  <si>
    <t>De kleine lisdodde lijkt de beste (her)groeiresultaten te behalen in de teeltproeven. De totale gewasopbrengst verschilt niet per gewas in het model, wel de pluisopbrengst. Deze ligt lager bij de kleine lisdodde.</t>
  </si>
  <si>
    <t>Oogsten pluis</t>
  </si>
  <si>
    <t>Separaat</t>
  </si>
  <si>
    <t>Om zoveel mogelijk pluis te oogsten, dient dit te gebeuren op het moment dat de aren rijp zijn en nog intact. Dit dient daarom waarschijnlijk te gebeuren in oktober, in ieder geval voor de winteroogst van blad en stengel in februari/maart.</t>
  </si>
  <si>
    <t>Bewaarmethode blad &amp; stengel</t>
  </si>
  <si>
    <t>Balen (droog)</t>
  </si>
  <si>
    <t>Opslag in balen is kosteneffectief, zeker in combinatie met drogen bij een grasdrogerij waar het gedroogde materiaal standaard tot balen wordt geperst. Overladen in big bags is erg duur. De juiste bewaarmethode hangt mede af aan welk type afnemer geleverd wordt. De producteis is daarmee bepalend voor de opslagkosten.</t>
  </si>
  <si>
    <t>Het is niet zeker of de oogstopbrengt direct in het geheel geleverd kan worden aan afnemers. Het is aannemelijk dat er vanuit opslag geleverd dient te worden. Om het materiaal te kunnen opslaan dient het eerst gedroogd te worden.</t>
  </si>
  <si>
    <t>Mechanisch</t>
  </si>
  <si>
    <t>Het is vooralsnog realistisch aan te nemen dat mechanisch drogen noodzakelijk is gezien de hoge producteisen aan het droge stofpercentage en de Nederlandse klimatologische omstandigheden. Dit brengt echter hoge kosten met zich mee. Er komen wel proeven met natuurlijk drogen. Als deze positief zijn, dan beïnvloeden deze het verdienmodel op gunstige wijze.</t>
  </si>
  <si>
    <t>Er zit een grote spreiding in de mogelijke inkoopprijzen van fabrikanten van potentiële producttoepassingen. Om tot een realistisch gemiddelde te komen zijn vijf producten met aflopende inkoopprijzen geselecteerd. Ieder product van blad- en stengelmateriaal neemt 25% van de blad/stengelopbrengst af. Het vijfde product neemt het pluis in het geheel af.</t>
  </si>
  <si>
    <t>Snijden</t>
  </si>
  <si>
    <t>Concept GLB vernatten veen</t>
  </si>
  <si>
    <t>Uit</t>
  </si>
  <si>
    <t>Hollands/Utr.</t>
  </si>
  <si>
    <t xml:space="preserve">Om de berekening van de inkomsten en de onrendabele top zuiver te houden is de concept GLB niet geselecteerd in de scenario's. Deze kan indien gewenst aan gezet worden. </t>
  </si>
  <si>
    <t>Afschrijvingstermijn teeltinvesteringen</t>
  </si>
  <si>
    <t>Gemiddeld</t>
  </si>
  <si>
    <t>De gemiddelde waarde reflecteert de meest realistische afschrijftermijn voor de betreffende teeltinvesteringen. Het aanpassen van de afschrijvingstermijn heeft een grote invloed op de kosten per jaar. Daardoor zouden de verschillen in de hoogtes van de investeringen zelf tussen de scenario's niet goed zichtbaar zijn.</t>
  </si>
  <si>
    <t>Droge stofgehalte voordrogen</t>
  </si>
  <si>
    <t>Voor een goede opslag blijkt vooralsnog een droge stofpercentage van 90% nodig.</t>
  </si>
  <si>
    <t>Rekentool verdienmodel lisdoddeteelt - Samenvatting resultaten scenario's</t>
  </si>
  <si>
    <t>Scenario</t>
  </si>
  <si>
    <t>Beste geval</t>
  </si>
  <si>
    <t>Slechtste</t>
  </si>
  <si>
    <t>Kenniscentrum Papier en Karton, 2019</t>
  </si>
  <si>
    <t>Marktvolume - per jaar</t>
  </si>
  <si>
    <t>Marktwaarde - per jaar</t>
  </si>
  <si>
    <t>NIBE, 2019</t>
  </si>
  <si>
    <t>Rapport: De potentie van biobased materialen in de bouw: https://www.datocms-assets.com/32423/1612268975-20190614-de-potentie-van-biobased-materialen-in-de-bouw.pdf</t>
  </si>
  <si>
    <t>Marktomvang 3.000.000 ton</t>
  </si>
  <si>
    <t>Marktomvang 50.000 ton</t>
  </si>
  <si>
    <t>Marktomvang 7.500.000 kuub</t>
  </si>
  <si>
    <t>Marktomvang 900.000 ton, 10% marktaandeel biobased in 2030, 0,1% marktaandeel in 2019</t>
  </si>
  <si>
    <t>[m3]</t>
  </si>
  <si>
    <t>Bouwbestel, 2016</t>
  </si>
  <si>
    <t>Artikel: https://www.bouwbestel.nl/blog/soortelijk-gewicht-mdf.html</t>
  </si>
  <si>
    <t>De Houtgroothandel, 2019</t>
  </si>
  <si>
    <t>Artikel: https://www.dehoutgroothandel.nl/blog/gewicht-spaanplaat</t>
  </si>
  <si>
    <t>Soortelijk gewicht MDF is 720-800kg per m3, multiplex is 700-800kg per m3</t>
  </si>
  <si>
    <t>Soortelijk gewicht spaanplaat is 630kg per m3, OSB is 600kg per m3</t>
  </si>
  <si>
    <t>Bron 4 - naam/jaar</t>
  </si>
  <si>
    <t>Bron 4 - waarde</t>
  </si>
  <si>
    <t>Bron 4 - type/link</t>
  </si>
  <si>
    <t>Egger, 2021</t>
  </si>
  <si>
    <t>Houtfactor spaanplaat is 83%</t>
  </si>
  <si>
    <t>Materialenpaspoort spaanplaat Egger</t>
  </si>
  <si>
    <t>Betonhuis, 2020</t>
  </si>
  <si>
    <t>Artikel: https://betonhuis.nl/cement/betonmarkt-nederland</t>
  </si>
  <si>
    <t>Marktomvang 14.000.000m3, 97,5% beton</t>
  </si>
  <si>
    <t>Marktomvang 14.000.000m3, 2,5% droge mortel</t>
  </si>
  <si>
    <t>Artikel: https://betonhuis.nl/betonhuis/lichtbeton-en-zwaarbeton</t>
  </si>
  <si>
    <t>Betonhuis, 2021</t>
  </si>
  <si>
    <t>Soortelijk gewicht beton is 2-2,6 ton per m3</t>
  </si>
  <si>
    <t>Marktomvang hout- of vezelgebaseerd plaatmateriaal 1.155.000 ton in 2019</t>
  </si>
  <si>
    <t>Vibers, 2020</t>
  </si>
  <si>
    <t>Artikel: https://www.bouwendnederland.nl/nu-bouwen-aan-morgen/voorbeelden-uit-de-praktijk/biobased-materialen</t>
  </si>
  <si>
    <t>Gewasopbrengst pluis per hectare - gemiddeld</t>
  </si>
  <si>
    <t>Soortelijk gewicht 2 ton per m3, 0,04-2% vezels</t>
  </si>
  <si>
    <t>Rapport: Circulaire Roadmap Plaatmateriaal: https://nflux.nl/app/uploads/2021/03/RoadmapCirculairPlaatmateriaal_Flux-2.pdf</t>
  </si>
  <si>
    <t>Ministerie I&amp;W/CBM/&amp;flux, 2020</t>
  </si>
  <si>
    <t>Ambitie 15% van plastic biobased in 2030, huidig is 1%</t>
  </si>
  <si>
    <t>Uitvoeringsprogramma Grondstoffenakkoord, 2019</t>
  </si>
  <si>
    <t>Uitvoeringsprogramma Circulaire Economie 2019-2023: https://www.rijksoverheid.nl/onderwerpen/circulaire-economie/documenten/rapporten/2019/02/08/uitvoeringsprogramma-2019-2023</t>
  </si>
  <si>
    <t>CE Delft, 2019</t>
  </si>
  <si>
    <t>Marktomvang 1.876.000 ton, aandeel biobased 1%</t>
  </si>
  <si>
    <t>Rapport: Plasticgebruik en verwerking van plastic afval in Nederland: https://ce.nl/wp-content/uploads/2021/03/CE_Delft_2T13_Plasticgebruik_en_plastic_afval_verwerking_NL_DEF.pdf</t>
  </si>
  <si>
    <t>10-50% vezel bijmenging</t>
  </si>
  <si>
    <t>10% vezel bijmenging</t>
  </si>
  <si>
    <t>Totaal volume ton</t>
  </si>
  <si>
    <t>Samenvatting</t>
  </si>
  <si>
    <t>% Veenweiden</t>
  </si>
  <si>
    <t>Bruto marktwaarde teelt</t>
  </si>
  <si>
    <t>Hectares veenweiden in Nederland</t>
  </si>
  <si>
    <t>% Potentie lisdodde in totale biobased markt</t>
  </si>
  <si>
    <t>Kleur aanname</t>
  </si>
  <si>
    <t>Blauw</t>
  </si>
  <si>
    <t xml:space="preserve">Uitgegaan van dezelfde producten als in de verdienmodelberekening. </t>
  </si>
  <si>
    <t>[m/ha]</t>
  </si>
  <si>
    <t>[€/m]</t>
  </si>
  <si>
    <t>Watertoevoer - totaal</t>
  </si>
  <si>
    <t>Beregeningsbuis €10 per meter</t>
  </si>
  <si>
    <t>10 meter gemiddeld per hectare</t>
  </si>
  <si>
    <t>Afstanden &amp; aantal leidingen zeer afhankelijk peilniveaus perceel</t>
  </si>
  <si>
    <t>Waterafvoer - totaal</t>
  </si>
  <si>
    <t>Watertoevoer - meter leiding per hectare</t>
  </si>
  <si>
    <t>Watertoevoer - prijs per meter leiding</t>
  </si>
  <si>
    <t>Waterafvoer - meter leiding per hectare</t>
  </si>
  <si>
    <t>Waterafvoer - prijs per meter leiding</t>
  </si>
  <si>
    <t>Capaciteit nodig 100m3 p/ha/dag</t>
  </si>
  <si>
    <t>Aanschaf windmolenpomp 17.000, 50m3 p/uur, is 1700 p/ha</t>
  </si>
  <si>
    <t>Zonpomp lagere capaciteit</t>
  </si>
  <si>
    <t>Pompen - aanschaf incl. stroomvoorziening</t>
  </si>
  <si>
    <t>Louis Bolk Instituut, 2021</t>
  </si>
  <si>
    <t>4 mei 2021</t>
  </si>
  <si>
    <t>- Door de volledigheid in opsomming, onderbouwing en expliciet maken van de status, is het mogelijk om gericht vervolgonderzoek te bepalen, zowel aan de productzijde als aan de teeltzijde.</t>
  </si>
  <si>
    <t>Methode</t>
  </si>
  <si>
    <t>- Dit rekenmodel berekent het verdienmodel en de marktomvang van lisdoddeteelt.</t>
  </si>
  <si>
    <t>- Het rekenmodel biedt flexibel in te vullen scenario's. Dit kunnen generieke scenario's zijn, zoals beste/gemiddeld/slechtste, of individuele situaties van boeren of type percelen.</t>
  </si>
  <si>
    <t xml:space="preserve">- Het rekenmodel is daarmee één-op-één overdraagbaar aan boeren om voor hun individuele situatie de kansrijkheid van lisdoddeteelt te bepalen. </t>
  </si>
  <si>
    <t>- Dit document legt de variabelen vast van de teelt, oogst, verwerking en verkoopprijzen van lisdodde.</t>
  </si>
  <si>
    <t xml:space="preserve">- Het aantal vastgelegde variabelen is 230. </t>
  </si>
  <si>
    <t>- Per variabele zijn maximale, gemiddelde en minimale waarden vastgelegd. Het aantal vastgelegde waarden is zodoende 690.</t>
  </si>
  <si>
    <t xml:space="preserve">- Alle waarden zijn expliciet onderbouwd door bronnen. </t>
  </si>
  <si>
    <t>- Deze bronnen zijn teeltexperts uit de veenprogramma's, vezelexperts van marktpartijen en de WUR, een landbouwtechniek- en verwerkingsexpert, KWIN, Agrimatie en marktonderzoeken.</t>
  </si>
  <si>
    <t xml:space="preserve">- De informatie van de bronnen komt uit interviews en documentatie. </t>
  </si>
  <si>
    <t>- De status van de waarden is expliciet gemaakt door aan te geven of dit een feit is, in onderzoek of een aanname.</t>
  </si>
  <si>
    <t>- Het format biedt de mogelijkheid in tabblad Data per variabele acties, taakeigenaren en deadlines toe te kennen voor vervolgonderzoek.</t>
  </si>
  <si>
    <t>- Door middel van het voorblad is het rekenmodel zelfstandig leesbaar. Het rekenmodel zal gedurende het Project Markt &amp; Ketenvorming continu bijgewerkt en periodiek gepubliceerd worden.</t>
  </si>
  <si>
    <t>Format</t>
  </si>
  <si>
    <t>Tabbladen</t>
  </si>
  <si>
    <t>Samenvatting van de resultaten van scenario's 1, 2 en 3.</t>
  </si>
  <si>
    <t>Ingevuld scenario o.b.v. gemiddelde waarden.</t>
  </si>
  <si>
    <t>Ingevuld scenario o.b.v. de meest gunstige waarden.</t>
  </si>
  <si>
    <t>Ingevuld scenario o.b.v. de minst gunstige waarden.</t>
  </si>
  <si>
    <t>Vrij invulbaar scenario.</t>
  </si>
  <si>
    <t xml:space="preserve">Berekening marktomvang. </t>
  </si>
  <si>
    <t>Invoer van de variabelen en bijbehorende waarden, status van de waarden en bronnen van de waarden.</t>
  </si>
  <si>
    <t xml:space="preserve">De scenario-tabbladen kunnen gekopieerd worden om extra scenario's te maken. </t>
  </si>
  <si>
    <t>Invullen scenario's</t>
  </si>
  <si>
    <t>1. Vul de bestaande of verwachte situatie in van het bedrijf, het perceel, de teelt, gewasopbrengst, oogsten, opslag, verkoop, verwerkingsstappen en overige inkomsten.</t>
  </si>
  <si>
    <t xml:space="preserve">3. Of voer handmatig een waarde in voor een variabele in het lichtrode veld. </t>
  </si>
  <si>
    <t>2. Kies met de selectiepijltes voor voorgedefinieerde waarden voor een variabele: Waarde Maximaal, Gemiddeld, Minimaal of Geen.</t>
  </si>
  <si>
    <t>In de scenario-tabbladen kunnen scenario's aangemaakt worden door variabelen en de bijbehorende waarden te selecteren of handmatige toevoegingen te doen. Dit gaat als volgt:</t>
  </si>
  <si>
    <t xml:space="preserve">4. Er kunnen gevarieerde selecties gemaakt worden, dus de ene variabele max/beste geval en de andere min/slechtste geval. De selectie is daardoor niet gebonden aan alleen beste geval, </t>
  </si>
  <si>
    <t xml:space="preserve">    gemiddeld of slechtste geval. Daarmee zijn de scenario's te individualiseren voor de eigen situatie van een boer.</t>
  </si>
  <si>
    <t>5. In tabblad Data staan de waarden waar nodig toegelicht.</t>
  </si>
  <si>
    <t xml:space="preserve">6. In tabblad Data kunnen de waarden worden aangepast. </t>
  </si>
  <si>
    <t>7. Kies met de selectiepijltjes in bepaalde velden voor het type situatie, handeling of product.</t>
  </si>
  <si>
    <t>8. Bij de keuze voor het type CO2-emissieberekening, de eigendomssituatie, het voordrogen en de benodigde verwerkingsstappen, worden de niet geselecteerde opties grijs.</t>
  </si>
  <si>
    <t>10. Het controleveld bij de verkoopopbrengst geeft aan of er minder (geel), gelijk aan (groen) of meer (rood) verkoopvolume is ingevuld dan de oogstopbrengst. Let op dat dit niet meer is.</t>
  </si>
  <si>
    <t>11. In de overzichten 'Verkoop product' wordt in het veld 'Droge stofgehalte input' met kleur aangegeven of het DS-gehalte lager (rood), gelijk aan (geel) of hoger (groen) is dan de producteis.</t>
  </si>
  <si>
    <t>12. De transportafstanden dienen handmatig ingevuld te worden.</t>
  </si>
  <si>
    <t>13. Per selectie-onderdeel wordt een samenvatting getoond van de resultaten van de gemaakte selectie.</t>
  </si>
  <si>
    <t>15. Bij de invulvelden in de bedrijfsresultaten kunnen handmatige toevoegingen of correcties gedaan worden.</t>
  </si>
  <si>
    <t xml:space="preserve">9. De hoeveelheid ton verkoopvolume per product dient handmatig ingevuld te worden in het veld 'Materiaal input' in de overzichten 'Verkoop product'. Dit is gedaan in verband met de </t>
  </si>
  <si>
    <t xml:space="preserve">    mogelijkheid dat minder verkocht wordt dan de oogstopbrengst en kosten wel doorlopen.</t>
  </si>
  <si>
    <t xml:space="preserve">      Het veld is eveneens gelinkt aan de output van de optie 'Voordrogen': dit overschrijft de geselecteerde DS-waarde. Selecteer de optie drogen als nog niet voldaan wordt aan de producteis.</t>
  </si>
  <si>
    <t>14. De bedrijfsresultaten, vergelijking met referentie inkomsten en de berekening van de onrendabele top volgen automatisch uit de gemaakte selectie.</t>
  </si>
  <si>
    <t>Vaste uitgangspunten in scenario's Beste geval, Gemiddeld &amp; Slechtste geval</t>
  </si>
  <si>
    <t>Producttoepassingen</t>
  </si>
  <si>
    <t xml:space="preserve">- Binnen de gekozen uitgangssituatie kan vervolgens de beste, gemiddelde of laagste waarde geselecteerd worden. </t>
  </si>
  <si>
    <t xml:space="preserve">- De rekentool biedt de mogelijkheid tot het kiezen tussen verschillende uitgangssituaties, die ieder leiden tot andere kosten of opbrengsten. </t>
  </si>
  <si>
    <t xml:space="preserve">- Alleen door marktpartijen ontwikkelde, geteste of gepland te testen producttoepassingen en in het productonderzoek van WUR als pontieel beoordeelde toepassingen zijn opgenomen. </t>
  </si>
  <si>
    <t>- Dit zorgt voor realistische bruto verkoopprijzen, verwerkingseisen en marktomvang.</t>
  </si>
  <si>
    <t xml:space="preserve">- De keuze voor de ene of de andere uitgangssituatie heeft dus impact op de resultaten. </t>
  </si>
  <si>
    <t xml:space="preserve">- Het is daarom voor de analyse van de resultaten van belang de meest realistische uitgangssituatie te kiezen en deze gelijk te houden tussen de drie scenario's. </t>
  </si>
  <si>
    <t>- Voor individuele perceelsituaties en voortschrijdend teeltinzicht is het echter wel van belang dat de verschillende uitgangssituaties al in het model opgenomen zijn en gekozen kunnen worden.</t>
  </si>
  <si>
    <t>- De uitgangspunten worden beschreven in de tabbladen van de scenario's.</t>
  </si>
  <si>
    <t>Beschrijving vaste uitgangspunten in selectie scenario's Beste geval, Gemiddeld &amp; Slechtste geval</t>
  </si>
  <si>
    <t xml:space="preserve">- Is de teelt rendabel? </t>
  </si>
  <si>
    <t>Onzeker</t>
  </si>
  <si>
    <t>De spreiding tussen de scenario's is zeer groot.</t>
  </si>
  <si>
    <t>Het scenario Beste geval biedt een zeer grote winst.</t>
  </si>
  <si>
    <t>Het scenario Slechtste geval biedt een zeer groot verlies.</t>
  </si>
  <si>
    <t xml:space="preserve">Het scenario Gemiddeld is licht positief, maar enkel o.b.v. overige inkomsten, GLB-basisbetaling en CO2-certificaten. </t>
  </si>
  <si>
    <t>De inkomsten uit enkel productverkoop in het scenario Gemiddeld zijn 1000 euro per hectare lager dan de kosten.</t>
  </si>
  <si>
    <t xml:space="preserve">Er is sprake van potentieel hoge inkomsten uit productverkoop, maar ook van potentieel hoge kosten. </t>
  </si>
  <si>
    <t>De productverkoopinkomsten in scenario Gemiddeld zijn hoger dan de kosten in scenario Beste geval. Dit biedt kansen.</t>
  </si>
  <si>
    <t>De kosten in sc. Slechtste geval zijn echter hoger dan de inkomsten (ex. CO2-credits) in sc. Beste geval. Dit is een risico.</t>
  </si>
  <si>
    <t xml:space="preserve">- Biedt lisdodde een alternatief voor melkveehouderij? </t>
  </si>
  <si>
    <t>Idem bovenstaande.</t>
  </si>
  <si>
    <t xml:space="preserve">- Wat moet een hectare minimaal opleveren? </t>
  </si>
  <si>
    <t>O.b.v. kosten + minimaal inkomen</t>
  </si>
  <si>
    <t>Minimale benodigde opbrengst - t.b.v. minimaal inkomen</t>
  </si>
  <si>
    <t>De kosten + minimaal inkomen in sc. Beste geval is €5800, in sc. Gemiddeld €9300 &amp; in sc. Slechtste geval zelfs €15.600.</t>
  </si>
  <si>
    <t>- Wat moet een ton droge stof minimaal opleveren?</t>
  </si>
  <si>
    <t>€5300-9300</t>
  </si>
  <si>
    <t>De kosten + minimaal inkomen in sc. Beste geval is €5300 exclusief extra kosten separaat oogsten van het pluis.</t>
  </si>
  <si>
    <t>Ook in het Beste geval-scenario dienen hoge kosten goedgemaakt te worden.</t>
  </si>
  <si>
    <t>€350-780</t>
  </si>
  <si>
    <t>Ervan uitgaande dat gewasopbrengsten van 9 tot 15 ton droge stof gehaald worden.</t>
  </si>
  <si>
    <t>De kosten + minimaal inkomen p/ton DS in sc. Beste geval is €390, in sc. Gemiddeld €780 &amp; in sc. Slechtste geval €1730.</t>
  </si>
  <si>
    <t>De kosten + minimaal inkomen in sc. Beste geval is €350 exclusief extra kosten van separaat oogsten van het pluis.</t>
  </si>
  <si>
    <t>Indien de hoge kosten uit de data &amp; berekeningen kloppen, dan is de prijs van veel technisch mogelijke producten te laag.</t>
  </si>
  <si>
    <t xml:space="preserve">- Dient de gewasopbrengst aangevuld te worden met </t>
  </si>
  <si>
    <t xml:space="preserve">  andere inkomsten- en subsidievormen?</t>
  </si>
  <si>
    <t>Alleen in scenario Beste geval komen de inkomsten uit enkel productverkoop boven de kosten uit.</t>
  </si>
  <si>
    <t xml:space="preserve">- Wat is de marktomvang? </t>
  </si>
  <si>
    <t>€6-30 mio</t>
  </si>
  <si>
    <t>O.b.v. marktaandeel 1-5% in de ontwikkelde &amp; geteste producten en door WUR als potentieel beoordeelde producten.</t>
  </si>
  <si>
    <t xml:space="preserve">- Hoeveel hectare kan er benut worden? </t>
  </si>
  <si>
    <t>2500-12500</t>
  </si>
  <si>
    <t>- Hoeveel subsidie nodig?</t>
  </si>
  <si>
    <t>€1900-2300</t>
  </si>
  <si>
    <t>De onrendabele top per hectare in sc. Gemiddeld is €2300 bij alleen inkomsten productverkoop en €1900 incl. GLB-basis.</t>
  </si>
  <si>
    <t>In de eerste jaren van de teelt zal de onrendabele top waarschijnlijk hoger zijn door lagere gewasopbrengsten.</t>
  </si>
  <si>
    <t>Dit niveau dekt ook de nog niet in beleid bestaande natuurbeheervergoeding &amp; overige ecosysteemdiensten voor lisdodde.</t>
  </si>
  <si>
    <t>- Wat is de prijs in de markt?</t>
  </si>
  <si>
    <t>€100-1300</t>
  </si>
  <si>
    <t xml:space="preserve">De bruto inkoopprijs per ton droge stof is zeer gespreid van €100 tot €1300. </t>
  </si>
  <si>
    <t xml:space="preserve">Met zowel realistische producten van lisdodde aan de bovenkant en onderkant van de prijsspreiding. </t>
  </si>
  <si>
    <t>De gemiddelde marktprijs moet nog ontstaan uit de daadwerkelijke productontwikkelingen.</t>
  </si>
  <si>
    <t>€1750-3500</t>
  </si>
  <si>
    <t>De teeltkosten per hectare zijn in sc. Beste geval is €1750, in sc. Gemiddeld €3500 &amp; in sc. Slechtste geval zelfs €7600.</t>
  </si>
  <si>
    <t>- Wat kost de teelt jaarlijks?</t>
  </si>
  <si>
    <t>- Wat kost de oogst en opslag jaarlijks?</t>
  </si>
  <si>
    <t>- Wat zijn de teeltinvesteringen?</t>
  </si>
  <si>
    <t>€7600-15500</t>
  </si>
  <si>
    <t>De teeltinvesteringen p/ha zijn in sc. Beste geval is €7600, in sc. Gemiddeld €15500 &amp; in sc. Slechtste geval zelfs €31400.</t>
  </si>
  <si>
    <t>€2100-4700</t>
  </si>
  <si>
    <t>De oogst &amp; opslagkosten p/ha zijn in sc. Beste geval is €2600, in sc. Gemiddeld €4700 &amp; in sc. Slechtste geval zelfs €7000.</t>
  </si>
  <si>
    <t>De oogst &amp; opslagkosten p/ha zijn in sc. Beste geval €2100 exclusief extra kosten van separaat oogsten van het pluis.</t>
  </si>
  <si>
    <t>- Wat kost de verwerking per ton (tot halfproduct)?</t>
  </si>
  <si>
    <t>€15-100</t>
  </si>
  <si>
    <t>De verwerking exclusief voordrogen varieert van €15-100 per ton. De benodigde stappen zijn divers, maar niet complex.</t>
  </si>
  <si>
    <t xml:space="preserve">De hoogste kosten bestaan uit extra drogen tot 99% droge stof voor bepaalde producten. </t>
  </si>
  <si>
    <t>Voordrogen tot 90% droge stof kost €100-230 per ton in respectievelijk scenario Beste geval en scenario Gemiddeld.</t>
  </si>
  <si>
    <t>- Samenvatting:</t>
  </si>
  <si>
    <t>- Scenario 1:</t>
  </si>
  <si>
    <t>- Scenario 2:</t>
  </si>
  <si>
    <t>- Scenario 3:</t>
  </si>
  <si>
    <t>- Scenario 4:</t>
  </si>
  <si>
    <t>- Marktomvang:</t>
  </si>
  <si>
    <t>- Data:</t>
  </si>
  <si>
    <t>- Drogen:</t>
  </si>
  <si>
    <t>De droogkosten maken 1/3 uit van de totale kosten. Bij sommige producten nog meer. Indien natuurlijk drogen toch mogelijk is, dan scheelt dit mogelijk aanzienlijk.</t>
  </si>
  <si>
    <t>- Oogst pluis:</t>
  </si>
  <si>
    <t xml:space="preserve">Extra oogsten in het najaar op moment dat de aren nog intact zijn levert het meeste pluis op tegen een hoge prijs, maar ook extra kosten. De oogst combineren is mogelijk </t>
  </si>
  <si>
    <t>kosteneffectiever dan het extra verkoopvolume.</t>
  </si>
  <si>
    <t>- Planten/zaaien:</t>
  </si>
  <si>
    <t>De kosten van planten is zo'n 15 keer hoger dan zaaien. Het uitgangspunt in de scenario's is planten, omdat zaaien nog niet voldoende bewezen is.</t>
  </si>
  <si>
    <t>Kostendrijvers &amp; gevoeligheden</t>
  </si>
  <si>
    <t>- Grondverzet:</t>
  </si>
  <si>
    <t>van de kant of op het veld oogsten. Van wel of geen nieuwe dijken en kades, grondtoevoer, plaggen, effenen tot sleuven voor stroomkabels.</t>
  </si>
  <si>
    <t>De verschillen in noodzaak tot grondverzet per type perceel, teelt- en oogstwijze zijn groot, zoals wel/geen onderbemalingssituatie, afplaggen of op maaiveld telen,</t>
  </si>
  <si>
    <t>- Pompen:</t>
  </si>
  <si>
    <t>De benodigde type, capaciteit en hoeveelheid pompen en de benodigde stroomvoorziening verschilt per type perceel en dient nog verder bepaald te worden voor de juiste</t>
  </si>
  <si>
    <t>nutriëntenstroming en waterpeilbeheersing.</t>
  </si>
  <si>
    <t>- Financiering:</t>
  </si>
  <si>
    <t>Het wel of niet nodig hebben van een lening voor de teeltinvesteringen en het rentepercentage scheelt honderden euro's per hectare per jaar.</t>
  </si>
  <si>
    <t>- Grondwaarde:</t>
  </si>
  <si>
    <t>Het wel of niet dienen af te waarderen van de grondwaarde is bepalend voor de grondgebruik kosten in geval van eigendom. Mogelijk vertaalt het zich ook in pachtprijzen.</t>
  </si>
  <si>
    <t>- Afschrijftermijn:</t>
  </si>
  <si>
    <t>Hoe lang de planten meegaan is nog onbekend. Indien dit tegenvalt, dan heeft dit grote invloed op de benodigde plantinvesteringen. Tenzij zaaien goed blijkt te werken.</t>
  </si>
  <si>
    <t>- Algemeen:</t>
  </si>
  <si>
    <t>- Opslagmethode:</t>
  </si>
  <si>
    <t>De kosten van diverse methoden van bewaren en opslag zijn zeer divers. In de vaste scenario's is uitgegaan van lage kosten door de combinatie van balen persen met drogen.</t>
  </si>
  <si>
    <t>- Gewasopbrengst:</t>
  </si>
  <si>
    <t>- Welke gewasopbrengst is minimaal nodig?</t>
  </si>
  <si>
    <t>13,5-16 DS</t>
  </si>
  <si>
    <t>O.b.v. de kosten + minimaal inkomen is 13,5 tot 16 ton droge stof gewasopbrengst per hectare nodig in sc. Gemiddeld.</t>
  </si>
  <si>
    <t>Vanzelfsprekend is de gewasopbrengst in grote mate bepalend voor de omzet. De praktijk loopt nog achter bij de verwachtingen. Dit is een groot risico.</t>
  </si>
  <si>
    <t>- Prijs:</t>
  </si>
  <si>
    <t xml:space="preserve">De bruto inkoopprijs per ton droge stof is zeer gespreid van €100 tot €1300. Met zowel realistische producten van lisdodde aan de bovenkant en onderkant van de </t>
  </si>
  <si>
    <t>prijsspreiding. De gemiddelde marktprijs moet nog ontstaan uit de daadwerkelijke productontwikkelingen. Of er zullen diverse prijzen zijn voor diverse toepassingen. In het</t>
  </si>
  <si>
    <t>rekenmodel wordt zekerheidshalve uitgegaan van verdeling van het verkoopvolume over meerdere prijsniveaus. Indien alles voor isolatie of droge mortel geleverd kan worden,</t>
  </si>
  <si>
    <t>dan schiet de omzet omhoog. Zo ook kan de omzet per hectare dalen als lisdodde uiteindelijk alleen blijkt te volstaan als vuller of substraat (ondanks de grote omvang van</t>
  </si>
  <si>
    <t>deze markten in termen van volume) of moet concurreren met reststromen.</t>
  </si>
  <si>
    <t>- CO2-certificaten:</t>
  </si>
  <si>
    <t>Inkomstendrijvers &amp; gevoeligheden</t>
  </si>
  <si>
    <t xml:space="preserve">CO2-certificaten kunnen in het gunstigste geval een behoorlijke bijdrage leveren aan de inkomsten. De spreiding in prijs is echter groot. En de te verwachten CO2-reductie per </t>
  </si>
  <si>
    <t>type perceel verschilt aanzienlijk en is in de praktijk nog niet voldoende bewezen. Metingen van het NOBV moeten hier meer zekerheid in brengen.</t>
  </si>
  <si>
    <t>- Natuurbeheer:</t>
  </si>
  <si>
    <t>Lisdoddeteelt komt officieel nog niet in aanmerking voor natuurbeheerpakketten en vergoedingen voor overige ecosysteemdiensten liggen nog niet vast. Dit dient opgelost te</t>
  </si>
  <si>
    <t>worden of (tijdelijk) opgevangen te worden door subsidie van de onrendabele top en/of de beoogde extra GLB-subsidie voor vernatten van veen.</t>
  </si>
  <si>
    <t>- Verwerking:</t>
  </si>
  <si>
    <t>De kosten voor verwerking, afgezien van drogen, hebben weinig relatieve impact op producten met hoge inkoopprijs en een mogelijk hoge op producten met lage inkoopprijs.</t>
  </si>
  <si>
    <t xml:space="preserve">Alle kosten zijn nog onzeker. De vele aannames werken vanzelfsprekend op elkaar in in het rekenmodel. Dit maakt de uitkomsten van het rekenmodel zeer gevoelig. </t>
  </si>
  <si>
    <t>Algemeen</t>
  </si>
  <si>
    <t xml:space="preserve">- Uitgangspunt: </t>
  </si>
  <si>
    <t xml:space="preserve">- Gevoeligheid: </t>
  </si>
  <si>
    <t xml:space="preserve">- Per industrie grote aannames. Het geheel zou door de spreiding over veel markten echter een redelijk beeld moeten geven. Daarnaast zullen er producten afvallen gedurende </t>
  </si>
  <si>
    <t xml:space="preserve">  productontwikkelingfases, maar ook nog potentiële producten bijkomen. Op deze spreiding zal zich dat waarschijnlijk uiteffenen.</t>
  </si>
  <si>
    <t xml:space="preserve">- Als in praktijk lagere gewasopbrengst per hectare gehaald wordt, dan uiteraard automatisch meer hectares benodigd (los van of dit in verdienmodel dan uit kan). </t>
  </si>
  <si>
    <t xml:space="preserve">- Resultaat: </t>
  </si>
  <si>
    <t xml:space="preserve">- Conclusies: </t>
  </si>
  <si>
    <t>- Het is belangrijk dat het rekenmodel staat, zodat er gericht gestuurd kan gaan worden op verminderen van de aannames, zowel aan de productzijde als aan de teeltzijde.</t>
  </si>
  <si>
    <t xml:space="preserve">- Het is belangrijk dat de teeltontwikkeling gestuurd wordt op verschillen in verdienmodel. Zo zijn er bijtende producten als je die zou willen combineren in de teelt: Typha Board verlangt kleine </t>
  </si>
  <si>
    <t xml:space="preserve">  lisdodde met zo min mogelijk aren i.v.m. zo min mogelijk harde stengels. Terwijl voor het pluis voor droge mortels zoveel mogeijk aren gewenst zijn en daardoor grote lisdodde aantrekkelijk is. </t>
  </si>
  <si>
    <t>Onderstaand wordt vermeld welke acties gepland staan in het vervolg van het Project Markt &amp; Ketenvorming en wat suggesties zijn voor het vervolg van het project of voor de teeltprojecten.</t>
  </si>
  <si>
    <t>Gepland</t>
  </si>
  <si>
    <t>Benodigd</t>
  </si>
  <si>
    <t>Kosten</t>
  </si>
  <si>
    <t>- Aannames kosten wegnemen door verder onderzoek en kwantitatief meten in teeltprojecten VIC &amp; IPV.</t>
  </si>
  <si>
    <t>- Teeltontwikkeling en oogstproeven baseren op producteisen, zodat kosten in lijn zijn met producteisen.</t>
  </si>
  <si>
    <t>- Naast oogstproeven ook droog-, opslag- en verwerkingsproeven uitvoeren, omdat niet voldoende getest is voor deze aspecten hoe aan de producteisen voldaan kan worden en welke kosten dit</t>
  </si>
  <si>
    <t xml:space="preserve">  vervolgens met zich meebrengt.</t>
  </si>
  <si>
    <t>Inkomsten</t>
  </si>
  <si>
    <t>- Daadwerkelijke productontwikkeling is nodig om te komen tot definitieve marktprijzen en verwerkingseisen. Het project Markt &amp; Ketenvorming zal dit als intermediair gericht bevorderen.</t>
  </si>
  <si>
    <t xml:space="preserve">- Bij bevorderen producttoepassingen niet enkel rekening houden met technische mogelijkheden, maar ook met reële marktprijs. </t>
  </si>
  <si>
    <t>- Aannames wegnemen.</t>
  </si>
  <si>
    <t>- Meerdere bronnen toevoegen per waarde t.b.v. betere inschatting.</t>
  </si>
  <si>
    <t>Rekenmodel</t>
  </si>
  <si>
    <t>- Verloop variabelen over jaren heen plotten (10-25 jaar) t.b.v. opbrengsten per jaar. Dit vergt echter inschatten van de waarden van variabelen over zoveel jaar. Dit is nog onzeker omdat de</t>
  </si>
  <si>
    <t xml:space="preserve">  teeltproeven nog niet voldoende lang bestaan. Aan de teeltzijde is bijv. onzeker hoe lang de plant opbrengst geeft, wanneer eventueel opnieuw geplant of gezaaid dient te worden, en hoe de </t>
  </si>
  <si>
    <t xml:space="preserve">  bodem zich houdt en voldoende stabiel blijft om opbrengst te blijven geven.</t>
  </si>
  <si>
    <t>- Onderscheid in mogelijke verschillen tussen grote en kleine lisdodde in kosten teelt, gewasopbrengsten en verkoopprijzen, zodra eventuele verschillen voldoende bekend zijn.</t>
  </si>
  <si>
    <t>- Optie: Grond &amp; perceelsoort selecteerbaar maken en automatische selectie doorvoeren in het rekenmodel.</t>
  </si>
  <si>
    <t>- Optie: macro knoppen t.b.v. automatische selectie scenario's.</t>
  </si>
  <si>
    <t>- Gewasopbrengst toevoegen bij eenmaal in de 2 jaar oogsten, zodra onderzoeksresultaten hiervan bekend zijn (onderzoek nog te starten).</t>
  </si>
  <si>
    <t>- Optie: Vergelijking kosten subsidie onrendabele top met maatschappelijke kosten geen vernatting van veen, met kosten per ton vermeden CO2 voor de overheid in bijv. woningbouw &amp; industrie</t>
  </si>
  <si>
    <t xml:space="preserve">  en met kosten overheid voor andere ecosysteemdiensten, zoals uitmijning bodem, zuivering water, biodiversiteit en landschapsherstel (o.b.v. Maatschappelijke Kosten-Baten Analyse).</t>
  </si>
  <si>
    <t>€3875-5300</t>
  </si>
  <si>
    <t>Bij aanpassing van een aantal grote operationele gevoeligheden in kosten, ex. financiering, dan dient een hectare in sc.</t>
  </si>
  <si>
    <t xml:space="preserve">Beste geval €3875 &amp; in sc. Gemiddeld €5300 op te leveren t.b.v. kosten + min. inkomen. Namelijk droogkosten naar €50 </t>
  </si>
  <si>
    <t>per ton ds, zaaien i.p.v. planten, eenmaal oogsten, weinig grondverzet &amp; pompen, maar wel hogere kosten voor opslag.</t>
  </si>
  <si>
    <t>€260-440</t>
  </si>
  <si>
    <t>Idem bovenstaande bij aanpassing grote operationele gevoeligheden in kosten. Deze prijs is beter haalbaar in de markt.</t>
  </si>
  <si>
    <t>De droogkosten zijn zeer bepalend voor de kosten. Indien natuurlijk drogen toch mogelijk is, dan kan dit enorm schelen.</t>
  </si>
  <si>
    <t xml:space="preserve">- Gemiddeld scenario: bij een marktaandeel van 5% lisdodde van de biobased grondstoffen in de betreffende industrieën, dan is er 12.500 hectare lisdoddeteelt nodig. Dit is </t>
  </si>
  <si>
    <t xml:space="preserve">  6% van de veenweiden.</t>
  </si>
  <si>
    <t>- Positief scenario: bij aandeel van 10% lisdodde van de biobased grondstoffen in de betreffende industrieën, dan is er 25.000 hectare teelt nodig, 11% van de veenweiden.</t>
  </si>
  <si>
    <t>- Conservatief scenario: bij aandeel van 1% lisdodde van de biobased grondstoffen in de betreffende industrieën, dan is er 2500 hectare teelt nodig, 1% van de veenweiden.</t>
  </si>
  <si>
    <t>- Dit is bij aannames van de omvang in de komende jaren van de biobased grondstoffenmarkt als geheel onderbouwd op basis van rapporten en marktpartijen. De biobased</t>
  </si>
  <si>
    <t xml:space="preserve">  grondstoffen zijn een percentage van de gehele markt, waarin ook geconcurreerd wordt met fossiele grondstoffen.</t>
  </si>
  <si>
    <t>- In verschillende industrieën wordt het aandeel biobased nog laag geschat in de komende jaren. Als de overheid stuurt op verhoging van het aandeel biobased naar minimaal</t>
  </si>
  <si>
    <t xml:space="preserve">  50% in 2030 in de betreffende industrieën, dan kan het aantal hectares lisdodde oplopen naar: Gemiddeld scenario: 20.000 hectare, 9% van veenweiden; Positief scenario:</t>
  </si>
  <si>
    <t xml:space="preserve">  39.000 hectare, 17% van veenweiden; Conservatief scenario: 4000 hectare, 2% van veenweiden.</t>
  </si>
  <si>
    <t>- Het is belangrijk op te merken dat de berekende mogelijke aantallen hectares alleen de teelt van lisdodde betreft. Hier komen nog de hectares van mogelijke andere</t>
  </si>
  <si>
    <t xml:space="preserve">  geschikte natte vezelgewassen bij.</t>
  </si>
  <si>
    <t xml:space="preserve">- Een redelijk aantal hectares van de veenweiden kan benut worden voor lisdoddeteelt in het gemiddelde scenario.  </t>
  </si>
  <si>
    <t>- In het positieve scenario slaat dit om naar boven als lisdodde zich definitief concurrerend bewijst in een van de mogelijke producten.</t>
  </si>
  <si>
    <t>- In het conservatieve scenario is het aantal hectares beperkter, zeker in de aanloopfase van de teelt- en productontwikkeling.</t>
  </si>
  <si>
    <t>- Er zijn genoeg hectares beschikbaar in de veenweiden, ook bij 50% lisdodde van het biobased marktvolume. Namelijk dan de helft van de veenweiden nodig.</t>
  </si>
  <si>
    <t>- Er is een onderscheid gemaakt in het percentage van het aantal benodigde hectares dat een industrie bijdraagt en in het percentage van de bijdrage aan de marktwaarde in</t>
  </si>
  <si>
    <t xml:space="preserve">  euro's. De marktwaarde is de prijs per ton droge stof maal het aantal ton droge stof. Isolatieproducten hebben een hogere inkoopprijs voor lisdodde per ton droge stof en </t>
  </si>
  <si>
    <t xml:space="preserve">  dragen daardoor verhoudingsgewijs meer bij aan de marktwaarde van de lisdoddeteelt. Papier heeft een lage inkoopprijs voor lisdodde per ton droge stof en draagt daardoor </t>
  </si>
  <si>
    <t xml:space="preserve">  relatief minder bij aan de totale marktwaarde van lisdoddeteelt.</t>
  </si>
  <si>
    <t xml:space="preserve">- Het model gaat van een vaste grondprijs en neemt niet bij voorbaat een daling of stijging mee, zodat de operationele winsten of verliezen zuiver berekend kunnen worden. Of de grondprijs in de </t>
  </si>
  <si>
    <t xml:space="preserve">  toekomst mogelijk daalt of stijgt door lisdoddeteelt is juist een uitkomst van 1) het feit of er winst of verlies gemaakt zal worden met de teelt, en ook of 2) de lisdoddevelden indien gewenst wel </t>
  </si>
  <si>
    <t xml:space="preserve">  of niet teruggebracht kunnen worden naar grasland. Dit is nog onvoldoende bekend om bij voorbaat mee te rekenen. De grondprijs zelf kan in het model aangepast worden om een stijging of daling </t>
  </si>
  <si>
    <t xml:space="preserve">  te simuleren.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</si>
</sst>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_(&quot;€&quot;\ * \(#,##0.00\);_(&quot;€&quot;\ * &quot;-&quot;??_);_(@_)"/>
    <numFmt numFmtId="43" formatCode="_(* #,##0.00_);_(* \(#,##0.00\);_(* &quot;-&quot;??_);_(@_)"/>
    <numFmt numFmtId="164" formatCode="_(* #,##0_);_(* \(#,##0\);_(* &quot;-&quot;??_);_(@_)"/>
    <numFmt numFmtId="165" formatCode="0.0%"/>
    <numFmt numFmtId="166" formatCode="_(&quot;€&quot;\ * #,##0_);_(&quot;€&quot;\ * \(#,##0\);_(&quot;€&quot;\ * &quot;-&quot;??_);_(@_)"/>
    <numFmt numFmtId="167" formatCode="_(* #,##0.0_);_(* \(#,##0.0\);_(* &quot;-&quot;??_);_(@_)"/>
    <numFmt numFmtId="168" formatCode="0.0"/>
    <numFmt numFmtId="169" formatCode="_(* #,##0.0_);_(* \(#,##0.0\);_(* &quot;-&quot;?_);_(@_)"/>
  </numFmts>
  <fonts count="38" x14ac:knownFonts="1">
    <font>
      <sz val="12"/>
      <color theme="1"/>
      <name val="Calibri"/>
      <family val="2"/>
      <scheme val="minor"/>
    </font>
    <font>
      <sz val="12"/>
      <color theme="1"/>
      <name val="Calibri"/>
      <family val="2"/>
      <scheme val="minor"/>
    </font>
    <font>
      <sz val="12"/>
      <color rgb="FF3F3F76"/>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2"/>
      <name val="Calibri"/>
      <family val="2"/>
      <scheme val="minor"/>
    </font>
    <font>
      <b/>
      <sz val="12"/>
      <name val="Calibri"/>
      <family val="2"/>
      <scheme val="minor"/>
    </font>
    <font>
      <b/>
      <u/>
      <sz val="12"/>
      <color theme="1"/>
      <name val="Calibri"/>
      <family val="2"/>
      <scheme val="minor"/>
    </font>
    <font>
      <i/>
      <sz val="12"/>
      <color theme="1"/>
      <name val="Calibri"/>
      <family val="2"/>
      <scheme val="minor"/>
    </font>
    <font>
      <sz val="8"/>
      <name val="Calibri"/>
      <family val="2"/>
      <scheme val="minor"/>
    </font>
    <font>
      <b/>
      <i/>
      <sz val="12"/>
      <color theme="1"/>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i/>
      <sz val="9"/>
      <color theme="1"/>
      <name val="Calibri (Hoofdtekst)"/>
    </font>
    <font>
      <b/>
      <i/>
      <sz val="9"/>
      <color theme="1"/>
      <name val="Calibri"/>
      <family val="2"/>
      <scheme val="minor"/>
    </font>
    <font>
      <b/>
      <sz val="14"/>
      <color theme="0"/>
      <name val="Calibri"/>
      <family val="2"/>
      <scheme val="minor"/>
    </font>
    <font>
      <sz val="14"/>
      <color theme="1"/>
      <name val="Calibri"/>
      <family val="2"/>
      <scheme val="minor"/>
    </font>
    <font>
      <b/>
      <sz val="13"/>
      <color theme="1"/>
      <name val="Calibri"/>
      <family val="2"/>
      <scheme val="minor"/>
    </font>
    <font>
      <sz val="13"/>
      <color theme="1"/>
      <name val="Calibri"/>
      <family val="2"/>
      <scheme val="minor"/>
    </font>
    <font>
      <i/>
      <sz val="12"/>
      <name val="Calibri"/>
      <family val="2"/>
      <scheme val="minor"/>
    </font>
    <font>
      <i/>
      <sz val="14"/>
      <color theme="1"/>
      <name val="Calibri"/>
      <family val="2"/>
      <scheme val="minor"/>
    </font>
    <font>
      <b/>
      <i/>
      <sz val="12"/>
      <color theme="0"/>
      <name val="Calibri"/>
      <family val="2"/>
      <scheme val="minor"/>
    </font>
    <font>
      <b/>
      <i/>
      <sz val="12"/>
      <name val="Calibri"/>
      <family val="2"/>
      <scheme val="minor"/>
    </font>
    <font>
      <i/>
      <sz val="12"/>
      <color theme="0"/>
      <name val="Calibri"/>
      <family val="2"/>
      <scheme val="minor"/>
    </font>
    <font>
      <u val="singleAccounting"/>
      <sz val="12"/>
      <color theme="1"/>
      <name val="Calibri"/>
      <family val="2"/>
      <scheme val="minor"/>
    </font>
    <font>
      <b/>
      <i/>
      <sz val="10"/>
      <color theme="1"/>
      <name val="Calibri"/>
      <family val="2"/>
      <scheme val="minor"/>
    </font>
    <font>
      <i/>
      <sz val="12"/>
      <color rgb="FF3F3F76"/>
      <name val="Calibri"/>
      <family val="2"/>
      <scheme val="minor"/>
    </font>
    <font>
      <b/>
      <u val="singleAccounting"/>
      <sz val="12"/>
      <color theme="1"/>
      <name val="Calibri"/>
      <family val="2"/>
      <scheme val="minor"/>
    </font>
    <font>
      <sz val="9"/>
      <color theme="1"/>
      <name val="Calibri (Hoofdtekst)"/>
    </font>
    <font>
      <sz val="9"/>
      <color theme="1"/>
      <name val="Calibri"/>
      <family val="2"/>
      <scheme val="minor"/>
    </font>
    <font>
      <b/>
      <sz val="14"/>
      <color theme="1"/>
      <name val="Calibri"/>
      <family val="2"/>
      <scheme val="minor"/>
    </font>
    <font>
      <b/>
      <sz val="16"/>
      <color theme="1"/>
      <name val="Calibri"/>
      <family val="2"/>
      <scheme val="minor"/>
    </font>
    <font>
      <sz val="12"/>
      <color theme="4"/>
      <name val="Calibri"/>
      <family val="2"/>
      <scheme val="minor"/>
    </font>
    <font>
      <b/>
      <i/>
      <sz val="14"/>
      <color theme="1"/>
      <name val="Calibri"/>
      <family val="2"/>
      <scheme val="minor"/>
    </font>
    <font>
      <i/>
      <u/>
      <sz val="12"/>
      <color theme="1"/>
      <name val="Calibri"/>
      <family val="2"/>
      <scheme val="minor"/>
    </font>
    <font>
      <sz val="12"/>
      <color rgb="FF4472C4"/>
      <name val="Calibri"/>
      <family val="2"/>
      <scheme val="minor"/>
    </font>
  </fonts>
  <fills count="17">
    <fill>
      <patternFill patternType="none"/>
    </fill>
    <fill>
      <patternFill patternType="gray125"/>
    </fill>
    <fill>
      <patternFill patternType="solid">
        <fgColor rgb="FFFFCC99"/>
      </patternFill>
    </fill>
    <fill>
      <patternFill patternType="solid">
        <fgColor theme="9"/>
        <bgColor theme="9"/>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39997558519241921"/>
        <bgColor rgb="FF000000"/>
      </patternFill>
    </fill>
    <fill>
      <patternFill patternType="solid">
        <fgColor theme="0" tint="-0.499984740745262"/>
        <bgColor rgb="FF000000"/>
      </patternFill>
    </fill>
    <fill>
      <patternFill patternType="solid">
        <fgColor theme="7"/>
        <bgColor indexed="64"/>
      </patternFill>
    </fill>
    <fill>
      <patternFill patternType="solid">
        <fgColor theme="4" tint="0.59999389629810485"/>
        <bgColor indexed="64"/>
      </patternFill>
    </fill>
    <fill>
      <patternFill patternType="solid">
        <fgColor rgb="FFF2F2F2"/>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theme="9" tint="0.39997558519241921"/>
      </left>
      <right/>
      <top style="thin">
        <color theme="9" tint="0.39997558519241921"/>
      </top>
      <bottom style="thin">
        <color theme="9" tint="0.39997558519241921"/>
      </bottom>
      <diagonal/>
    </border>
    <border>
      <left style="thin">
        <color theme="9" tint="0.39997558519241921"/>
      </left>
      <right/>
      <top/>
      <bottom style="thin">
        <color theme="9" tint="0.39997558519241921"/>
      </bottom>
      <diagonal/>
    </border>
    <border>
      <left/>
      <right/>
      <top/>
      <bottom style="thin">
        <color theme="9" tint="0.39997558519241921"/>
      </bottom>
      <diagonal/>
    </border>
    <border>
      <left/>
      <right style="thin">
        <color theme="9" tint="0.39997558519241921"/>
      </right>
      <top/>
      <bottom style="thin">
        <color theme="9" tint="0.39997558519241921"/>
      </bottom>
      <diagonal/>
    </border>
    <border>
      <left style="thin">
        <color theme="9" tint="0.39997558519241921"/>
      </left>
      <right/>
      <top/>
      <bottom/>
      <diagonal/>
    </border>
    <border>
      <left/>
      <right/>
      <top style="thin">
        <color theme="6" tint="0.39997558519241921"/>
      </top>
      <bottom style="thin">
        <color theme="6" tint="0.39997558519241921"/>
      </bottom>
      <diagonal/>
    </border>
    <border>
      <left/>
      <right/>
      <top/>
      <bottom style="thin">
        <color theme="1"/>
      </bottom>
      <diagonal/>
    </border>
    <border>
      <left/>
      <right/>
      <top/>
      <bottom style="double">
        <color theme="1"/>
      </bottom>
      <diagonal/>
    </border>
    <border>
      <left style="double">
        <color theme="1"/>
      </left>
      <right style="double">
        <color theme="1"/>
      </right>
      <top style="double">
        <color theme="1"/>
      </top>
      <bottom style="double">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double">
        <color theme="1"/>
      </bottom>
      <diagonal/>
    </border>
    <border>
      <left/>
      <right style="thin">
        <color theme="1"/>
      </right>
      <top/>
      <bottom style="double">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theme="1"/>
      </right>
      <top style="double">
        <color theme="1"/>
      </top>
      <bottom style="double">
        <color theme="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theme="1"/>
      </top>
      <bottom style="double">
        <color theme="1"/>
      </bottom>
      <diagonal/>
    </border>
    <border>
      <left/>
      <right/>
      <top style="thin">
        <color rgb="FFA9D08E"/>
      </top>
      <bottom style="thin">
        <color rgb="FFA9D08E"/>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double">
        <color theme="1"/>
      </right>
      <top style="double">
        <color theme="1"/>
      </top>
      <bottom style="double">
        <color theme="1"/>
      </bottom>
      <diagonal/>
    </border>
    <border>
      <left/>
      <right style="thin">
        <color theme="1"/>
      </right>
      <top/>
      <bottom style="double">
        <color indexed="64"/>
      </bottom>
      <diagonal/>
    </border>
    <border>
      <left style="thin">
        <color theme="1"/>
      </left>
      <right/>
      <top style="double">
        <color indexed="64"/>
      </top>
      <bottom style="thin">
        <color indexed="64"/>
      </bottom>
      <diagonal/>
    </border>
    <border>
      <left/>
      <right style="thin">
        <color theme="1"/>
      </right>
      <top style="double">
        <color indexed="64"/>
      </top>
      <bottom style="thin">
        <color indexed="64"/>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44" fontId="1" fillId="0" borderId="0" applyFont="0" applyFill="0" applyBorder="0" applyAlignment="0" applyProtection="0"/>
  </cellStyleXfs>
  <cellXfs count="563">
    <xf numFmtId="0" fontId="0" fillId="0" borderId="0" xfId="0"/>
    <xf numFmtId="0" fontId="4" fillId="0" borderId="0" xfId="0" applyFont="1"/>
    <xf numFmtId="0" fontId="4" fillId="0" borderId="0" xfId="0" applyFont="1" applyAlignment="1">
      <alignment horizontal="center"/>
    </xf>
    <xf numFmtId="164" fontId="0" fillId="0" borderId="0" xfId="1" applyNumberFormat="1" applyFont="1"/>
    <xf numFmtId="9" fontId="0" fillId="0" borderId="0" xfId="2" applyFont="1"/>
    <xf numFmtId="43" fontId="0" fillId="0" borderId="0" xfId="1" applyFont="1"/>
    <xf numFmtId="0" fontId="4" fillId="0" borderId="0" xfId="0" applyFont="1" applyAlignment="1">
      <alignment horizontal="left"/>
    </xf>
    <xf numFmtId="164" fontId="4" fillId="0" borderId="0" xfId="0" applyNumberFormat="1" applyFont="1"/>
    <xf numFmtId="164" fontId="4" fillId="0" borderId="0" xfId="1" applyNumberFormat="1" applyFont="1"/>
    <xf numFmtId="0" fontId="3" fillId="3" borderId="2" xfId="0" applyFont="1" applyFill="1" applyBorder="1"/>
    <xf numFmtId="0" fontId="3" fillId="3" borderId="3" xfId="0" applyFont="1" applyFill="1" applyBorder="1"/>
    <xf numFmtId="0" fontId="3" fillId="3" borderId="4" xfId="0" applyFont="1" applyFill="1" applyBorder="1"/>
    <xf numFmtId="0" fontId="3" fillId="3" borderId="4" xfId="0" applyFont="1" applyFill="1" applyBorder="1" applyAlignment="1">
      <alignment horizontal="center"/>
    </xf>
    <xf numFmtId="0" fontId="3" fillId="3" borderId="5" xfId="0" applyFont="1" applyFill="1" applyBorder="1"/>
    <xf numFmtId="164" fontId="6" fillId="0" borderId="0" xfId="0" applyNumberFormat="1" applyFont="1"/>
    <xf numFmtId="164" fontId="6" fillId="0" borderId="0" xfId="1" applyNumberFormat="1" applyFont="1" applyFill="1" applyBorder="1"/>
    <xf numFmtId="0" fontId="3" fillId="3" borderId="6" xfId="0" applyFont="1" applyFill="1" applyBorder="1"/>
    <xf numFmtId="0" fontId="6" fillId="0" borderId="0" xfId="0" applyFont="1" applyBorder="1"/>
    <xf numFmtId="0" fontId="6" fillId="0" borderId="0" xfId="0" applyFont="1" applyFill="1" applyBorder="1"/>
    <xf numFmtId="0" fontId="3" fillId="3" borderId="0" xfId="0" applyFont="1" applyFill="1" applyBorder="1"/>
    <xf numFmtId="43" fontId="6" fillId="0" borderId="0" xfId="1" applyFont="1" applyFill="1" applyBorder="1" applyAlignment="1">
      <alignment horizontal="left"/>
    </xf>
    <xf numFmtId="0" fontId="6" fillId="0" borderId="0" xfId="0" applyFont="1" applyFill="1"/>
    <xf numFmtId="164" fontId="6" fillId="0" borderId="0" xfId="0" applyNumberFormat="1" applyFont="1" applyFill="1"/>
    <xf numFmtId="0" fontId="3" fillId="0" borderId="6" xfId="0" applyFont="1" applyFill="1" applyBorder="1"/>
    <xf numFmtId="0" fontId="3" fillId="0" borderId="4" xfId="0" applyFont="1" applyFill="1" applyBorder="1"/>
    <xf numFmtId="0" fontId="3" fillId="0" borderId="0" xfId="0" applyFont="1" applyFill="1" applyBorder="1"/>
    <xf numFmtId="0" fontId="3" fillId="0" borderId="4" xfId="0" applyFont="1" applyFill="1" applyBorder="1" applyAlignment="1">
      <alignment horizontal="center"/>
    </xf>
    <xf numFmtId="0" fontId="3" fillId="0" borderId="5" xfId="0" applyFont="1" applyFill="1" applyBorder="1"/>
    <xf numFmtId="0" fontId="0" fillId="0" borderId="0" xfId="0" applyFill="1"/>
    <xf numFmtId="0" fontId="6" fillId="0" borderId="0" xfId="0" applyFont="1"/>
    <xf numFmtId="0" fontId="6" fillId="0" borderId="0" xfId="0" applyNumberFormat="1" applyFont="1" applyFill="1" applyBorder="1"/>
    <xf numFmtId="0" fontId="7" fillId="0" borderId="0" xfId="0" applyFont="1" applyFill="1" applyBorder="1"/>
    <xf numFmtId="9" fontId="6" fillId="0" borderId="0" xfId="2" applyFont="1" applyFill="1" applyBorder="1"/>
    <xf numFmtId="0" fontId="0" fillId="0" borderId="0" xfId="0" applyBorder="1"/>
    <xf numFmtId="43" fontId="6" fillId="0" borderId="0" xfId="1" applyFont="1" applyFill="1" applyBorder="1"/>
    <xf numFmtId="43" fontId="0" fillId="0" borderId="0" xfId="1" applyFont="1" applyFill="1"/>
    <xf numFmtId="164" fontId="6" fillId="0" borderId="0" xfId="1" applyNumberFormat="1" applyFont="1"/>
    <xf numFmtId="0" fontId="6" fillId="0" borderId="0" xfId="0" applyNumberFormat="1" applyFont="1"/>
    <xf numFmtId="0" fontId="0" fillId="0" borderId="0" xfId="0" applyFill="1" applyBorder="1"/>
    <xf numFmtId="43" fontId="0" fillId="0" borderId="0" xfId="1" applyFont="1" applyFill="1" applyBorder="1"/>
    <xf numFmtId="0" fontId="7" fillId="0" borderId="6" xfId="0" applyFont="1" applyFill="1" applyBorder="1"/>
    <xf numFmtId="0" fontId="7" fillId="0" borderId="4" xfId="0" applyFont="1" applyFill="1" applyBorder="1"/>
    <xf numFmtId="0" fontId="7" fillId="0" borderId="4" xfId="0" applyFont="1" applyFill="1" applyBorder="1" applyAlignment="1">
      <alignment horizontal="center"/>
    </xf>
    <xf numFmtId="0" fontId="7" fillId="0" borderId="5" xfId="0" applyFont="1" applyFill="1" applyBorder="1"/>
    <xf numFmtId="164" fontId="0" fillId="0" borderId="0" xfId="1" applyNumberFormat="1" applyFont="1" applyFill="1" applyBorder="1"/>
    <xf numFmtId="2" fontId="0" fillId="0" borderId="7" xfId="0" applyNumberFormat="1" applyFont="1" applyFill="1" applyBorder="1" applyAlignment="1">
      <alignment horizontal="center"/>
    </xf>
    <xf numFmtId="2" fontId="0" fillId="0" borderId="0" xfId="0" applyNumberFormat="1" applyFill="1" applyAlignment="1">
      <alignment horizontal="center"/>
    </xf>
    <xf numFmtId="0" fontId="0" fillId="0" borderId="0" xfId="0" applyFill="1" applyAlignment="1">
      <alignment horizontal="center"/>
    </xf>
    <xf numFmtId="0" fontId="5" fillId="0" borderId="0" xfId="0" applyFont="1"/>
    <xf numFmtId="2" fontId="0" fillId="0" borderId="0" xfId="0" applyNumberFormat="1" applyFont="1" applyFill="1" applyBorder="1" applyAlignment="1">
      <alignment horizontal="center"/>
    </xf>
    <xf numFmtId="9" fontId="6" fillId="0" borderId="0" xfId="2" applyFont="1" applyFill="1"/>
    <xf numFmtId="9" fontId="0" fillId="0" borderId="0" xfId="2" applyFont="1" applyFill="1" applyBorder="1"/>
    <xf numFmtId="0" fontId="9" fillId="0" borderId="0" xfId="0" applyFont="1"/>
    <xf numFmtId="164" fontId="0" fillId="4" borderId="9" xfId="0" applyNumberFormat="1" applyFill="1" applyBorder="1"/>
    <xf numFmtId="164" fontId="4" fillId="4" borderId="0" xfId="1" applyNumberFormat="1" applyFont="1" applyFill="1" applyBorder="1"/>
    <xf numFmtId="164" fontId="0" fillId="4" borderId="0" xfId="0" applyNumberFormat="1" applyFill="1" applyBorder="1"/>
    <xf numFmtId="164" fontId="0" fillId="4" borderId="0" xfId="1" applyNumberFormat="1" applyFont="1" applyFill="1" applyBorder="1"/>
    <xf numFmtId="0" fontId="4" fillId="4" borderId="0" xfId="0" applyFont="1" applyFill="1" applyBorder="1"/>
    <xf numFmtId="0" fontId="8" fillId="4" borderId="11" xfId="0" applyFont="1" applyFill="1" applyBorder="1"/>
    <xf numFmtId="0" fontId="0" fillId="4" borderId="13" xfId="0" applyFill="1" applyBorder="1"/>
    <xf numFmtId="0" fontId="0" fillId="4" borderId="14" xfId="0" applyFill="1" applyBorder="1"/>
    <xf numFmtId="0" fontId="0" fillId="4" borderId="15" xfId="0" applyFill="1" applyBorder="1"/>
    <xf numFmtId="0" fontId="2" fillId="2" borderId="1" xfId="3" applyBorder="1"/>
    <xf numFmtId="0" fontId="0" fillId="4" borderId="16" xfId="0" applyFill="1" applyBorder="1"/>
    <xf numFmtId="0" fontId="0" fillId="4" borderId="17" xfId="0" applyFill="1" applyBorder="1"/>
    <xf numFmtId="164" fontId="4" fillId="4" borderId="0" xfId="0" applyNumberFormat="1" applyFont="1" applyFill="1" applyBorder="1"/>
    <xf numFmtId="9" fontId="0" fillId="4" borderId="0" xfId="2" applyFont="1" applyFill="1" applyBorder="1"/>
    <xf numFmtId="43" fontId="0" fillId="4" borderId="0" xfId="0" applyNumberFormat="1" applyFill="1" applyBorder="1"/>
    <xf numFmtId="43" fontId="0" fillId="4" borderId="0" xfId="1" applyNumberFormat="1" applyFont="1" applyFill="1" applyBorder="1"/>
    <xf numFmtId="0" fontId="0" fillId="5" borderId="10" xfId="0" applyFill="1" applyBorder="1"/>
    <xf numFmtId="9" fontId="2" fillId="2" borderId="1" xfId="2" applyFont="1" applyFill="1" applyBorder="1"/>
    <xf numFmtId="0" fontId="5" fillId="0" borderId="0" xfId="0" applyFont="1" applyFill="1" applyBorder="1"/>
    <xf numFmtId="0" fontId="6" fillId="0" borderId="0" xfId="0" applyFont="1" applyFill="1" applyBorder="1" applyAlignment="1">
      <alignment horizontal="left"/>
    </xf>
    <xf numFmtId="2" fontId="6" fillId="0" borderId="0" xfId="0" applyNumberFormat="1" applyFont="1" applyFill="1" applyBorder="1" applyAlignment="1">
      <alignment horizontal="center"/>
    </xf>
    <xf numFmtId="14" fontId="6" fillId="0" borderId="0" xfId="0" applyNumberFormat="1" applyFont="1" applyFill="1" applyBorder="1" applyAlignment="1">
      <alignment horizontal="center"/>
    </xf>
    <xf numFmtId="0" fontId="5" fillId="0" borderId="0" xfId="0" applyFont="1" applyFill="1" applyBorder="1" applyAlignment="1">
      <alignment horizontal="left"/>
    </xf>
    <xf numFmtId="9" fontId="2" fillId="2" borderId="1" xfId="3" applyNumberFormat="1" applyBorder="1"/>
    <xf numFmtId="43" fontId="2" fillId="2" borderId="1" xfId="3" applyNumberFormat="1" applyBorder="1"/>
    <xf numFmtId="0" fontId="4" fillId="4" borderId="20" xfId="0" applyFont="1" applyFill="1" applyBorder="1"/>
    <xf numFmtId="0" fontId="0" fillId="4" borderId="22" xfId="0" applyFill="1" applyBorder="1"/>
    <xf numFmtId="0" fontId="0" fillId="4" borderId="23" xfId="0" applyFill="1" applyBorder="1"/>
    <xf numFmtId="0" fontId="0" fillId="4" borderId="24" xfId="0" applyFill="1" applyBorder="1"/>
    <xf numFmtId="0" fontId="0" fillId="4" borderId="26" xfId="0" applyFill="1" applyBorder="1"/>
    <xf numFmtId="2" fontId="6" fillId="0" borderId="0" xfId="0" applyNumberFormat="1" applyFont="1" applyFill="1" applyAlignment="1">
      <alignment horizontal="center"/>
    </xf>
    <xf numFmtId="165" fontId="6" fillId="0" borderId="0" xfId="2" applyNumberFormat="1" applyFont="1" applyFill="1" applyBorder="1"/>
    <xf numFmtId="0" fontId="0" fillId="4" borderId="21" xfId="0" applyFill="1" applyBorder="1"/>
    <xf numFmtId="0" fontId="8" fillId="4" borderId="19" xfId="0" applyFont="1" applyFill="1" applyBorder="1" applyAlignment="1">
      <alignment horizontal="left"/>
    </xf>
    <xf numFmtId="0" fontId="8" fillId="4" borderId="19" xfId="0" applyFont="1" applyFill="1" applyBorder="1"/>
    <xf numFmtId="164" fontId="0" fillId="4" borderId="23" xfId="1" applyNumberFormat="1" applyFont="1" applyFill="1" applyBorder="1"/>
    <xf numFmtId="0" fontId="0" fillId="5" borderId="27" xfId="0" applyFill="1" applyBorder="1"/>
    <xf numFmtId="0" fontId="15" fillId="4" borderId="0" xfId="0" applyFont="1" applyFill="1" applyBorder="1"/>
    <xf numFmtId="0" fontId="15" fillId="4" borderId="20" xfId="0" applyFont="1" applyFill="1" applyBorder="1"/>
    <xf numFmtId="0" fontId="16" fillId="4" borderId="0" xfId="0" applyFont="1" applyFill="1" applyBorder="1"/>
    <xf numFmtId="0" fontId="2" fillId="2" borderId="1" xfId="3"/>
    <xf numFmtId="164" fontId="2" fillId="2" borderId="1" xfId="1" applyNumberFormat="1" applyFont="1" applyFill="1" applyBorder="1"/>
    <xf numFmtId="0" fontId="17" fillId="7" borderId="0" xfId="0" applyFont="1" applyFill="1"/>
    <xf numFmtId="0" fontId="18" fillId="7" borderId="0" xfId="0" applyFont="1" applyFill="1" applyAlignment="1">
      <alignment horizontal="center"/>
    </xf>
    <xf numFmtId="0" fontId="4" fillId="8" borderId="0" xfId="0" applyFont="1" applyFill="1"/>
    <xf numFmtId="49" fontId="0" fillId="0" borderId="0" xfId="0" applyNumberFormat="1" applyAlignment="1">
      <alignment horizontal="left"/>
    </xf>
    <xf numFmtId="0" fontId="0" fillId="0" borderId="0" xfId="0" applyAlignment="1">
      <alignment horizontal="center"/>
    </xf>
    <xf numFmtId="0" fontId="18" fillId="7" borderId="0" xfId="0" applyFont="1" applyFill="1"/>
    <xf numFmtId="9" fontId="18" fillId="7" borderId="0" xfId="2" applyFont="1" applyFill="1" applyAlignment="1">
      <alignment horizontal="center"/>
    </xf>
    <xf numFmtId="9" fontId="18" fillId="7" borderId="0" xfId="2" applyFont="1" applyFill="1"/>
    <xf numFmtId="9" fontId="0" fillId="0" borderId="0" xfId="2" applyFont="1" applyAlignment="1">
      <alignment horizontal="center"/>
    </xf>
    <xf numFmtId="0" fontId="9" fillId="4" borderId="0" xfId="0" applyFont="1" applyFill="1" applyBorder="1"/>
    <xf numFmtId="0" fontId="19" fillId="8" borderId="0" xfId="0" applyFont="1" applyFill="1"/>
    <xf numFmtId="0" fontId="20" fillId="0" borderId="0" xfId="0" applyFont="1"/>
    <xf numFmtId="0" fontId="0" fillId="4" borderId="22" xfId="0" applyFill="1" applyBorder="1" applyAlignment="1">
      <alignment horizontal="right"/>
    </xf>
    <xf numFmtId="0" fontId="8" fillId="4" borderId="22" xfId="0" applyFont="1" applyFill="1" applyBorder="1" applyAlignment="1">
      <alignment horizontal="left"/>
    </xf>
    <xf numFmtId="0" fontId="4" fillId="4" borderId="22" xfId="0" applyFont="1" applyFill="1" applyBorder="1"/>
    <xf numFmtId="166" fontId="0" fillId="4" borderId="0" xfId="0" applyNumberFormat="1" applyFill="1" applyBorder="1" applyAlignment="1">
      <alignment horizontal="center"/>
    </xf>
    <xf numFmtId="0" fontId="4" fillId="4" borderId="20" xfId="0" applyFont="1" applyFill="1" applyBorder="1" applyAlignment="1"/>
    <xf numFmtId="0" fontId="4" fillId="4" borderId="21" xfId="0" applyFont="1" applyFill="1" applyBorder="1" applyAlignment="1"/>
    <xf numFmtId="166" fontId="0" fillId="4" borderId="23" xfId="0" applyNumberFormat="1" applyFill="1" applyBorder="1" applyAlignment="1">
      <alignment horizontal="center"/>
    </xf>
    <xf numFmtId="0" fontId="0" fillId="4" borderId="28" xfId="0" applyFill="1" applyBorder="1"/>
    <xf numFmtId="0" fontId="0" fillId="4" borderId="29" xfId="0" applyFill="1" applyBorder="1"/>
    <xf numFmtId="166" fontId="0" fillId="4" borderId="29" xfId="0" applyNumberFormat="1" applyFill="1" applyBorder="1" applyAlignment="1">
      <alignment horizontal="center"/>
    </xf>
    <xf numFmtId="166" fontId="0" fillId="4" borderId="30" xfId="0" applyNumberFormat="1" applyFill="1" applyBorder="1" applyAlignment="1">
      <alignment horizontal="center"/>
    </xf>
    <xf numFmtId="0" fontId="4" fillId="4" borderId="31" xfId="0" applyFont="1" applyFill="1" applyBorder="1"/>
    <xf numFmtId="0" fontId="4" fillId="4" borderId="32" xfId="0" applyFont="1" applyFill="1" applyBorder="1"/>
    <xf numFmtId="43" fontId="4" fillId="4" borderId="32" xfId="0" applyNumberFormat="1" applyFont="1" applyFill="1" applyBorder="1" applyAlignment="1">
      <alignment horizontal="center"/>
    </xf>
    <xf numFmtId="166" fontId="4" fillId="4" borderId="32" xfId="0" applyNumberFormat="1" applyFont="1" applyFill="1" applyBorder="1" applyAlignment="1">
      <alignment horizontal="center"/>
    </xf>
    <xf numFmtId="166" fontId="4" fillId="4" borderId="33" xfId="0" applyNumberFormat="1" applyFont="1" applyFill="1" applyBorder="1" applyAlignment="1">
      <alignment horizontal="center"/>
    </xf>
    <xf numFmtId="1" fontId="4" fillId="4" borderId="0" xfId="0" applyNumberFormat="1" applyFont="1" applyFill="1" applyBorder="1"/>
    <xf numFmtId="164" fontId="0" fillId="4" borderId="20" xfId="1" applyNumberFormat="1" applyFont="1" applyFill="1" applyBorder="1"/>
    <xf numFmtId="0" fontId="8" fillId="4" borderId="22" xfId="0" applyFont="1" applyFill="1" applyBorder="1"/>
    <xf numFmtId="0" fontId="16" fillId="4" borderId="20" xfId="0" applyFont="1" applyFill="1" applyBorder="1"/>
    <xf numFmtId="0" fontId="4" fillId="9" borderId="0" xfId="0" applyFont="1" applyFill="1"/>
    <xf numFmtId="0" fontId="4" fillId="0" borderId="0" xfId="0" applyFont="1" applyFill="1"/>
    <xf numFmtId="0" fontId="3" fillId="9" borderId="0" xfId="0" applyFont="1" applyFill="1"/>
    <xf numFmtId="0" fontId="7" fillId="9" borderId="0" xfId="0" applyFont="1" applyFill="1"/>
    <xf numFmtId="0" fontId="5" fillId="9" borderId="0" xfId="0" applyFont="1" applyFill="1"/>
    <xf numFmtId="0" fontId="6" fillId="0" borderId="0" xfId="0" applyFont="1" applyAlignment="1">
      <alignment horizontal="center"/>
    </xf>
    <xf numFmtId="0" fontId="5" fillId="0" borderId="0" xfId="0" applyFont="1" applyFill="1" applyBorder="1" applyAlignment="1">
      <alignment horizontal="center"/>
    </xf>
    <xf numFmtId="0" fontId="9" fillId="0" borderId="0" xfId="0" applyFont="1" applyAlignment="1">
      <alignment horizontal="center"/>
    </xf>
    <xf numFmtId="0" fontId="9" fillId="0" borderId="0" xfId="0" applyFont="1" applyAlignment="1">
      <alignment horizontal="left" indent="1"/>
    </xf>
    <xf numFmtId="164" fontId="9" fillId="0" borderId="0" xfId="1" applyNumberFormat="1" applyFont="1"/>
    <xf numFmtId="164" fontId="21" fillId="0" borderId="0" xfId="0" applyNumberFormat="1" applyFont="1"/>
    <xf numFmtId="164" fontId="21" fillId="0" borderId="0" xfId="1" applyNumberFormat="1" applyFont="1"/>
    <xf numFmtId="0" fontId="22" fillId="7" borderId="0" xfId="0" applyFont="1" applyFill="1" applyAlignment="1">
      <alignment horizontal="center"/>
    </xf>
    <xf numFmtId="0" fontId="11" fillId="8" borderId="0" xfId="0" applyFont="1" applyFill="1" applyAlignment="1">
      <alignment horizontal="center"/>
    </xf>
    <xf numFmtId="0" fontId="21" fillId="0" borderId="0" xfId="0" applyFont="1" applyAlignment="1">
      <alignment horizontal="center"/>
    </xf>
    <xf numFmtId="0" fontId="23" fillId="0" borderId="0" xfId="0" applyFont="1" applyFill="1" applyBorder="1" applyAlignment="1">
      <alignment horizontal="center"/>
    </xf>
    <xf numFmtId="0" fontId="21" fillId="0" borderId="0" xfId="0" applyFont="1" applyFill="1" applyBorder="1" applyAlignment="1">
      <alignment horizontal="center"/>
    </xf>
    <xf numFmtId="0" fontId="24" fillId="0" borderId="4" xfId="0" applyFont="1" applyFill="1" applyBorder="1" applyAlignment="1">
      <alignment horizontal="center"/>
    </xf>
    <xf numFmtId="14" fontId="21" fillId="0" borderId="0" xfId="0" applyNumberFormat="1" applyFont="1" applyAlignment="1">
      <alignment horizontal="center"/>
    </xf>
    <xf numFmtId="0" fontId="25" fillId="0" borderId="0" xfId="0" applyFont="1" applyAlignment="1">
      <alignment horizontal="center"/>
    </xf>
    <xf numFmtId="2" fontId="21" fillId="0" borderId="0" xfId="0" applyNumberFormat="1" applyFont="1" applyFill="1" applyBorder="1" applyAlignment="1">
      <alignment horizontal="center"/>
    </xf>
    <xf numFmtId="0" fontId="9" fillId="0" borderId="0" xfId="0" applyFont="1" applyFill="1"/>
    <xf numFmtId="0" fontId="0" fillId="0" borderId="0" xfId="0" applyFont="1" applyAlignment="1">
      <alignment horizontal="center"/>
    </xf>
    <xf numFmtId="0" fontId="0" fillId="4" borderId="12" xfId="0" applyFill="1" applyBorder="1"/>
    <xf numFmtId="0" fontId="11" fillId="0" borderId="0" xfId="0" applyFont="1" applyAlignment="1">
      <alignment horizontal="center"/>
    </xf>
    <xf numFmtId="0" fontId="9" fillId="0" borderId="0" xfId="0" applyNumberFormat="1" applyFont="1" applyAlignment="1">
      <alignment horizontal="center"/>
    </xf>
    <xf numFmtId="43" fontId="21" fillId="0" borderId="0" xfId="1" applyFont="1" applyFill="1" applyBorder="1" applyAlignment="1">
      <alignment horizontal="left"/>
    </xf>
    <xf numFmtId="164" fontId="21" fillId="0" borderId="0" xfId="1" applyNumberFormat="1" applyFont="1" applyFill="1" applyBorder="1"/>
    <xf numFmtId="0" fontId="21" fillId="0" borderId="0" xfId="0" applyFont="1" applyFill="1" applyBorder="1" applyAlignment="1">
      <alignment horizontal="left" indent="1"/>
    </xf>
    <xf numFmtId="43" fontId="21" fillId="0" borderId="0" xfId="1" applyNumberFormat="1" applyFont="1" applyFill="1" applyBorder="1"/>
    <xf numFmtId="49" fontId="9" fillId="0" borderId="0" xfId="0" applyNumberFormat="1" applyFont="1" applyAlignment="1">
      <alignment horizontal="center"/>
    </xf>
    <xf numFmtId="0" fontId="9" fillId="0" borderId="0" xfId="0" applyFont="1" applyFill="1" applyBorder="1"/>
    <xf numFmtId="43" fontId="9" fillId="0" borderId="0" xfId="1" applyFont="1" applyFill="1"/>
    <xf numFmtId="164" fontId="9" fillId="0" borderId="0" xfId="1" applyNumberFormat="1" applyFont="1" applyFill="1" applyBorder="1"/>
    <xf numFmtId="0" fontId="6" fillId="0" borderId="0" xfId="0" applyFont="1" applyAlignment="1">
      <alignment horizontal="left"/>
    </xf>
    <xf numFmtId="9" fontId="6" fillId="0" borderId="0" xfId="2" applyNumberFormat="1" applyFont="1" applyFill="1" applyBorder="1"/>
    <xf numFmtId="49" fontId="6" fillId="0" borderId="0" xfId="1" applyNumberFormat="1" applyFont="1" applyFill="1" applyBorder="1" applyAlignment="1">
      <alignment horizontal="right"/>
    </xf>
    <xf numFmtId="0" fontId="21" fillId="0" borderId="0" xfId="0" applyFont="1" applyFill="1" applyAlignment="1">
      <alignment horizontal="center"/>
    </xf>
    <xf numFmtId="9" fontId="21" fillId="0" borderId="0" xfId="0" applyNumberFormat="1" applyFont="1" applyFill="1" applyBorder="1" applyAlignment="1">
      <alignment horizontal="center"/>
    </xf>
    <xf numFmtId="2" fontId="0" fillId="0" borderId="0" xfId="0" applyNumberFormat="1" applyAlignment="1">
      <alignment horizontal="center"/>
    </xf>
    <xf numFmtId="0" fontId="4" fillId="11" borderId="0" xfId="0" applyFont="1" applyFill="1" applyAlignment="1">
      <alignment horizontal="left"/>
    </xf>
    <xf numFmtId="0" fontId="4" fillId="11" borderId="0" xfId="0" applyFont="1" applyFill="1"/>
    <xf numFmtId="0" fontId="12" fillId="12" borderId="0" xfId="0" applyFont="1" applyFill="1"/>
    <xf numFmtId="0" fontId="4" fillId="11" borderId="0" xfId="0" applyFont="1" applyFill="1" applyAlignment="1">
      <alignment horizontal="center"/>
    </xf>
    <xf numFmtId="0" fontId="0" fillId="4" borderId="0" xfId="0" applyFill="1" applyBorder="1"/>
    <xf numFmtId="0" fontId="0" fillId="4" borderId="25" xfId="0" applyFill="1" applyBorder="1"/>
    <xf numFmtId="0" fontId="0" fillId="4" borderId="20" xfId="0" applyFill="1" applyBorder="1"/>
    <xf numFmtId="43" fontId="13" fillId="4" borderId="0" xfId="0" applyNumberFormat="1" applyFont="1" applyFill="1" applyBorder="1"/>
    <xf numFmtId="164" fontId="0" fillId="0" borderId="0" xfId="1" applyNumberFormat="1" applyFont="1" applyFill="1"/>
    <xf numFmtId="164" fontId="1" fillId="4" borderId="0" xfId="1" applyNumberFormat="1" applyFont="1" applyFill="1" applyBorder="1"/>
    <xf numFmtId="0" fontId="0" fillId="0" borderId="0" xfId="0" applyFont="1" applyFill="1" applyBorder="1"/>
    <xf numFmtId="164" fontId="9" fillId="4" borderId="0" xfId="1" applyNumberFormat="1" applyFont="1" applyFill="1" applyBorder="1"/>
    <xf numFmtId="0" fontId="9" fillId="4" borderId="15" xfId="0" applyFont="1" applyFill="1" applyBorder="1"/>
    <xf numFmtId="164" fontId="0" fillId="4" borderId="8" xfId="0" applyNumberFormat="1" applyFill="1" applyBorder="1"/>
    <xf numFmtId="43" fontId="9" fillId="4" borderId="0" xfId="1" applyNumberFormat="1" applyFont="1" applyFill="1" applyBorder="1"/>
    <xf numFmtId="164" fontId="11" fillId="4" borderId="0" xfId="1" applyNumberFormat="1" applyFont="1" applyFill="1" applyBorder="1"/>
    <xf numFmtId="0" fontId="9" fillId="4" borderId="20" xfId="0" applyFont="1" applyFill="1" applyBorder="1"/>
    <xf numFmtId="0" fontId="4" fillId="4" borderId="23" xfId="0" applyFont="1" applyFill="1" applyBorder="1"/>
    <xf numFmtId="0" fontId="9" fillId="4" borderId="23" xfId="0" applyFont="1" applyFill="1" applyBorder="1"/>
    <xf numFmtId="164" fontId="6" fillId="0" borderId="0" xfId="1" applyNumberFormat="1" applyFont="1" applyFill="1" applyBorder="1" applyAlignment="1">
      <alignment horizontal="left"/>
    </xf>
    <xf numFmtId="0" fontId="9" fillId="4" borderId="22" xfId="0" applyFont="1" applyFill="1" applyBorder="1" applyAlignment="1">
      <alignment horizontal="left" indent="1"/>
    </xf>
    <xf numFmtId="164" fontId="9" fillId="4" borderId="0" xfId="1" applyNumberFormat="1" applyFont="1" applyFill="1" applyBorder="1" applyAlignment="1">
      <alignment horizontal="left" indent="1"/>
    </xf>
    <xf numFmtId="0" fontId="0" fillId="4" borderId="22" xfId="0" applyFont="1" applyFill="1" applyBorder="1"/>
    <xf numFmtId="0" fontId="0" fillId="4" borderId="23" xfId="0" applyFont="1" applyFill="1" applyBorder="1"/>
    <xf numFmtId="0" fontId="9" fillId="4" borderId="23" xfId="0" applyFont="1" applyFill="1" applyBorder="1" applyAlignment="1">
      <alignment horizontal="left"/>
    </xf>
    <xf numFmtId="43" fontId="1" fillId="4" borderId="0" xfId="1" applyNumberFormat="1" applyFont="1" applyFill="1" applyBorder="1"/>
    <xf numFmtId="164" fontId="0" fillId="4" borderId="25" xfId="1" applyNumberFormat="1" applyFont="1" applyFill="1" applyBorder="1"/>
    <xf numFmtId="1" fontId="0" fillId="4" borderId="0" xfId="0" applyNumberFormat="1" applyFont="1" applyFill="1" applyBorder="1"/>
    <xf numFmtId="0" fontId="0" fillId="4" borderId="0" xfId="0" applyFont="1" applyFill="1" applyBorder="1"/>
    <xf numFmtId="43" fontId="9" fillId="4" borderId="0" xfId="1" applyFont="1" applyFill="1" applyBorder="1"/>
    <xf numFmtId="164" fontId="9" fillId="4" borderId="0" xfId="0" applyNumberFormat="1" applyFont="1" applyFill="1" applyBorder="1"/>
    <xf numFmtId="0" fontId="8" fillId="4" borderId="19" xfId="0" quotePrefix="1" applyFont="1" applyFill="1" applyBorder="1"/>
    <xf numFmtId="0" fontId="0" fillId="4" borderId="22" xfId="0" applyFont="1" applyFill="1" applyBorder="1" applyAlignment="1"/>
    <xf numFmtId="0" fontId="0" fillId="4" borderId="22" xfId="0" quotePrefix="1" applyFill="1" applyBorder="1"/>
    <xf numFmtId="0" fontId="13" fillId="4" borderId="22" xfId="0" applyFont="1" applyFill="1" applyBorder="1"/>
    <xf numFmtId="0" fontId="4" fillId="4" borderId="22" xfId="0" quotePrefix="1" applyFont="1" applyFill="1" applyBorder="1"/>
    <xf numFmtId="0" fontId="0" fillId="0" borderId="0" xfId="0" applyAlignment="1"/>
    <xf numFmtId="0" fontId="0" fillId="4" borderId="0" xfId="0" applyFill="1" applyBorder="1" applyAlignment="1">
      <alignment horizontal="center"/>
    </xf>
    <xf numFmtId="0" fontId="12" fillId="4" borderId="22" xfId="0" applyFont="1" applyFill="1" applyBorder="1"/>
    <xf numFmtId="0" fontId="14" fillId="4" borderId="22" xfId="0" applyFont="1" applyFill="1" applyBorder="1" applyAlignment="1">
      <alignment horizontal="left" indent="1"/>
    </xf>
    <xf numFmtId="0" fontId="0" fillId="4" borderId="22" xfId="0" applyFont="1" applyFill="1" applyBorder="1" applyAlignment="1">
      <alignment horizontal="left"/>
    </xf>
    <xf numFmtId="43" fontId="2" fillId="2" borderId="1" xfId="1" applyFont="1" applyFill="1" applyBorder="1"/>
    <xf numFmtId="164" fontId="2" fillId="2" borderId="1" xfId="3" applyNumberFormat="1"/>
    <xf numFmtId="0" fontId="19" fillId="0" borderId="0" xfId="0" applyFont="1" applyFill="1"/>
    <xf numFmtId="0" fontId="27" fillId="0" borderId="0" xfId="0" applyFont="1" applyAlignment="1">
      <alignment horizontal="center"/>
    </xf>
    <xf numFmtId="164" fontId="0" fillId="0" borderId="0" xfId="1" applyNumberFormat="1" applyFont="1" applyAlignment="1">
      <alignment horizontal="right"/>
    </xf>
    <xf numFmtId="0" fontId="2" fillId="2" borderId="1" xfId="1" applyNumberFormat="1" applyFont="1" applyFill="1" applyBorder="1"/>
    <xf numFmtId="9" fontId="9" fillId="4" borderId="0" xfId="2" applyFont="1" applyFill="1" applyBorder="1"/>
    <xf numFmtId="167" fontId="9" fillId="4" borderId="0" xfId="1" applyNumberFormat="1" applyFont="1" applyFill="1" applyBorder="1"/>
    <xf numFmtId="0" fontId="0" fillId="0" borderId="0" xfId="0" applyFont="1" applyFill="1"/>
    <xf numFmtId="0" fontId="8" fillId="4" borderId="22" xfId="0" quotePrefix="1" applyFont="1" applyFill="1" applyBorder="1"/>
    <xf numFmtId="167" fontId="0" fillId="0" borderId="0" xfId="1" applyNumberFormat="1" applyFont="1" applyFill="1" applyBorder="1"/>
    <xf numFmtId="167" fontId="0" fillId="4" borderId="0" xfId="1" applyNumberFormat="1" applyFont="1" applyFill="1" applyBorder="1"/>
    <xf numFmtId="167" fontId="1" fillId="4" borderId="0" xfId="1" applyNumberFormat="1" applyFont="1" applyFill="1" applyBorder="1"/>
    <xf numFmtId="167" fontId="0" fillId="4" borderId="0" xfId="0" applyNumberFormat="1" applyFill="1" applyBorder="1"/>
    <xf numFmtId="0" fontId="0" fillId="4" borderId="22" xfId="0" applyFill="1" applyBorder="1" applyAlignment="1">
      <alignment vertical="center"/>
    </xf>
    <xf numFmtId="164" fontId="0" fillId="4" borderId="0" xfId="0" applyNumberFormat="1" applyFont="1" applyFill="1" applyBorder="1"/>
    <xf numFmtId="0" fontId="0" fillId="4" borderId="0" xfId="0" applyFont="1" applyFill="1" applyBorder="1" applyAlignment="1">
      <alignment vertical="center"/>
    </xf>
    <xf numFmtId="0" fontId="0" fillId="4" borderId="23" xfId="0" applyFont="1" applyFill="1" applyBorder="1" applyAlignment="1">
      <alignment vertical="center"/>
    </xf>
    <xf numFmtId="0" fontId="0" fillId="0" borderId="0" xfId="0" applyAlignment="1">
      <alignment vertical="center"/>
    </xf>
    <xf numFmtId="0" fontId="0" fillId="4" borderId="24" xfId="0" applyFill="1" applyBorder="1" applyAlignment="1">
      <alignment vertical="center"/>
    </xf>
    <xf numFmtId="0" fontId="0" fillId="4" borderId="25" xfId="0" applyFill="1" applyBorder="1" applyAlignment="1">
      <alignment vertical="center"/>
    </xf>
    <xf numFmtId="164" fontId="0" fillId="4" borderId="25" xfId="1" applyNumberFormat="1" applyFont="1" applyFill="1" applyBorder="1" applyAlignment="1">
      <alignment vertical="center"/>
    </xf>
    <xf numFmtId="0" fontId="0" fillId="4" borderId="26" xfId="0" applyFill="1" applyBorder="1" applyAlignment="1">
      <alignment vertical="center"/>
    </xf>
    <xf numFmtId="0" fontId="9" fillId="4" borderId="22" xfId="0" applyFont="1" applyFill="1" applyBorder="1" applyAlignment="1">
      <alignment horizontal="left"/>
    </xf>
    <xf numFmtId="167" fontId="0" fillId="4" borderId="0" xfId="0" applyNumberFormat="1" applyFont="1" applyFill="1" applyBorder="1"/>
    <xf numFmtId="0" fontId="0" fillId="4" borderId="22" xfId="0" applyFont="1" applyFill="1" applyBorder="1" applyAlignment="1">
      <alignment horizontal="left" vertical="center"/>
    </xf>
    <xf numFmtId="0" fontId="28" fillId="2" borderId="1" xfId="3" applyFont="1" applyBorder="1"/>
    <xf numFmtId="164" fontId="26" fillId="4" borderId="0" xfId="1" applyNumberFormat="1" applyFont="1" applyFill="1" applyBorder="1"/>
    <xf numFmtId="43" fontId="14" fillId="4" borderId="0" xfId="0" applyNumberFormat="1" applyFont="1" applyFill="1" applyBorder="1"/>
    <xf numFmtId="0" fontId="9" fillId="5" borderId="34" xfId="0" applyFont="1" applyFill="1" applyBorder="1" applyAlignment="1">
      <alignment horizontal="left" indent="1"/>
    </xf>
    <xf numFmtId="0" fontId="0" fillId="4" borderId="22" xfId="0" quotePrefix="1" applyFont="1" applyFill="1" applyBorder="1" applyAlignment="1">
      <alignment horizontal="left"/>
    </xf>
    <xf numFmtId="0" fontId="0" fillId="5" borderId="10" xfId="0" applyFont="1" applyFill="1" applyBorder="1"/>
    <xf numFmtId="164" fontId="14" fillId="4" borderId="0" xfId="0" applyNumberFormat="1" applyFont="1" applyFill="1" applyBorder="1"/>
    <xf numFmtId="9" fontId="14" fillId="4" borderId="0" xfId="0" applyNumberFormat="1" applyFont="1" applyFill="1" applyBorder="1"/>
    <xf numFmtId="1" fontId="2" fillId="2" borderId="1" xfId="3" applyNumberFormat="1" applyBorder="1"/>
    <xf numFmtId="0" fontId="4" fillId="4" borderId="22" xfId="0" applyFont="1" applyFill="1" applyBorder="1" applyAlignment="1">
      <alignment horizontal="left"/>
    </xf>
    <xf numFmtId="164" fontId="0" fillId="4" borderId="0" xfId="0" applyNumberFormat="1" applyFont="1" applyFill="1" applyBorder="1" applyAlignment="1">
      <alignment vertical="center"/>
    </xf>
    <xf numFmtId="0" fontId="0" fillId="4" borderId="28" xfId="0" applyFont="1" applyFill="1" applyBorder="1" applyAlignment="1">
      <alignment vertical="center"/>
    </xf>
    <xf numFmtId="164" fontId="0" fillId="4" borderId="29" xfId="0" applyNumberFormat="1" applyFont="1" applyFill="1" applyBorder="1" applyAlignment="1"/>
    <xf numFmtId="0" fontId="0" fillId="4" borderId="29" xfId="0" applyFont="1" applyFill="1" applyBorder="1" applyAlignment="1">
      <alignment vertical="center"/>
    </xf>
    <xf numFmtId="0" fontId="0" fillId="4" borderId="30" xfId="0" applyFont="1" applyFill="1" applyBorder="1" applyAlignment="1">
      <alignment vertical="center"/>
    </xf>
    <xf numFmtId="164" fontId="4" fillId="4" borderId="32" xfId="0" applyNumberFormat="1" applyFont="1" applyFill="1" applyBorder="1"/>
    <xf numFmtId="0" fontId="4" fillId="4" borderId="33" xfId="0" applyFont="1" applyFill="1" applyBorder="1"/>
    <xf numFmtId="0" fontId="11" fillId="4" borderId="22" xfId="0" applyFont="1" applyFill="1" applyBorder="1"/>
    <xf numFmtId="167" fontId="0" fillId="4" borderId="18" xfId="0" applyNumberFormat="1" applyFill="1" applyBorder="1" applyAlignment="1">
      <alignment horizontal="center"/>
    </xf>
    <xf numFmtId="167" fontId="0" fillId="4" borderId="18" xfId="1" applyNumberFormat="1" applyFont="1" applyFill="1" applyBorder="1" applyAlignment="1">
      <alignment horizontal="center"/>
    </xf>
    <xf numFmtId="167" fontId="0" fillId="4" borderId="0" xfId="0" applyNumberFormat="1" applyFill="1" applyBorder="1" applyAlignment="1">
      <alignment horizontal="center"/>
    </xf>
    <xf numFmtId="167" fontId="0" fillId="4" borderId="29" xfId="0" applyNumberFormat="1" applyFill="1" applyBorder="1" applyAlignment="1">
      <alignment horizontal="center"/>
    </xf>
    <xf numFmtId="0" fontId="0" fillId="4" borderId="0" xfId="0" applyFill="1" applyBorder="1" applyAlignment="1">
      <alignment horizontal="left"/>
    </xf>
    <xf numFmtId="9" fontId="0" fillId="4" borderId="0" xfId="2" applyFont="1" applyFill="1" applyBorder="1" applyAlignment="1">
      <alignment horizontal="left"/>
    </xf>
    <xf numFmtId="0" fontId="2" fillId="2" borderId="1" xfId="3" applyFont="1" applyBorder="1"/>
    <xf numFmtId="167" fontId="13" fillId="4" borderId="0" xfId="0" applyNumberFormat="1" applyFont="1" applyFill="1" applyBorder="1"/>
    <xf numFmtId="0" fontId="11" fillId="4" borderId="22" xfId="0" applyFont="1" applyFill="1" applyBorder="1" applyAlignment="1">
      <alignment horizontal="left"/>
    </xf>
    <xf numFmtId="164" fontId="29" fillId="4" borderId="0" xfId="0" applyNumberFormat="1" applyFont="1" applyFill="1" applyBorder="1"/>
    <xf numFmtId="1" fontId="0" fillId="4" borderId="0" xfId="0" applyNumberFormat="1" applyFill="1" applyBorder="1"/>
    <xf numFmtId="1" fontId="9" fillId="4" borderId="0" xfId="1" applyNumberFormat="1" applyFont="1" applyFill="1" applyBorder="1"/>
    <xf numFmtId="0" fontId="2" fillId="2" borderId="1" xfId="3" applyNumberFormat="1" applyBorder="1"/>
    <xf numFmtId="0" fontId="30" fillId="4" borderId="0" xfId="0" applyFont="1" applyFill="1" applyBorder="1"/>
    <xf numFmtId="0" fontId="31" fillId="4" borderId="0" xfId="0" applyFont="1" applyFill="1" applyBorder="1"/>
    <xf numFmtId="0" fontId="0" fillId="4" borderId="0" xfId="0" applyFill="1"/>
    <xf numFmtId="0" fontId="0" fillId="0" borderId="0" xfId="0" applyFill="1" applyBorder="1" applyAlignment="1">
      <alignment horizontal="left"/>
    </xf>
    <xf numFmtId="0" fontId="8" fillId="0" borderId="0" xfId="0" applyFont="1"/>
    <xf numFmtId="0" fontId="0" fillId="0" borderId="0" xfId="0" applyFont="1"/>
    <xf numFmtId="0" fontId="0" fillId="0" borderId="0" xfId="0" applyFont="1" applyAlignment="1">
      <alignment horizontal="left"/>
    </xf>
    <xf numFmtId="164" fontId="1" fillId="0" borderId="0" xfId="1" applyNumberFormat="1" applyFont="1"/>
    <xf numFmtId="9" fontId="1" fillId="0" borderId="0" xfId="2" applyFont="1"/>
    <xf numFmtId="164" fontId="21" fillId="0" borderId="0" xfId="1" applyNumberFormat="1" applyFont="1" applyFill="1"/>
    <xf numFmtId="0" fontId="6" fillId="0" borderId="35" xfId="0" applyFont="1" applyBorder="1"/>
    <xf numFmtId="0" fontId="4" fillId="8" borderId="0" xfId="0" applyFont="1" applyFill="1" applyAlignment="1">
      <alignment horizontal="center"/>
    </xf>
    <xf numFmtId="0" fontId="0" fillId="0" borderId="0" xfId="0" applyFont="1" applyFill="1" applyAlignment="1">
      <alignment horizontal="center"/>
    </xf>
    <xf numFmtId="0" fontId="3" fillId="0" borderId="0" xfId="0" applyFont="1" applyFill="1" applyBorder="1" applyAlignment="1">
      <alignment horizontal="center"/>
    </xf>
    <xf numFmtId="0" fontId="5" fillId="0" borderId="0" xfId="0" applyFont="1" applyAlignment="1">
      <alignment horizontal="center"/>
    </xf>
    <xf numFmtId="164" fontId="9" fillId="0" borderId="0" xfId="1" applyNumberFormat="1" applyFont="1" applyAlignment="1">
      <alignment horizontal="center"/>
    </xf>
    <xf numFmtId="164" fontId="0" fillId="0" borderId="0" xfId="1" applyNumberFormat="1" applyFont="1" applyAlignment="1">
      <alignment horizontal="center"/>
    </xf>
    <xf numFmtId="1" fontId="21" fillId="0" borderId="0" xfId="0" applyNumberFormat="1" applyFont="1" applyFill="1" applyBorder="1" applyAlignment="1">
      <alignment horizontal="center"/>
    </xf>
    <xf numFmtId="0" fontId="32" fillId="6" borderId="0" xfId="0" applyFont="1" applyFill="1"/>
    <xf numFmtId="0" fontId="0" fillId="0" borderId="0" xfId="0" applyFill="1" applyAlignment="1"/>
    <xf numFmtId="0" fontId="18" fillId="0" borderId="0" xfId="0" applyFont="1" applyFill="1"/>
    <xf numFmtId="0" fontId="33" fillId="0" borderId="0" xfId="0" applyFont="1" applyFill="1"/>
    <xf numFmtId="164" fontId="33" fillId="0" borderId="0" xfId="0" applyNumberFormat="1" applyFont="1" applyFill="1"/>
    <xf numFmtId="164" fontId="0" fillId="0" borderId="0" xfId="1" applyNumberFormat="1" applyFont="1" applyAlignment="1">
      <alignment horizontal="left" indent="1"/>
    </xf>
    <xf numFmtId="0" fontId="4" fillId="4" borderId="22" xfId="0" applyFont="1" applyFill="1" applyBorder="1" applyAlignment="1">
      <alignment horizontal="right"/>
    </xf>
    <xf numFmtId="9" fontId="9" fillId="4" borderId="0" xfId="2" applyNumberFormat="1" applyFont="1" applyFill="1" applyBorder="1"/>
    <xf numFmtId="0" fontId="32" fillId="0" borderId="25" xfId="0" applyFont="1" applyFill="1" applyBorder="1"/>
    <xf numFmtId="164" fontId="32" fillId="0" borderId="25" xfId="0" applyNumberFormat="1" applyFont="1" applyFill="1" applyBorder="1"/>
    <xf numFmtId="0" fontId="4" fillId="0" borderId="0" xfId="0" applyFont="1" applyFill="1" applyAlignment="1">
      <alignment horizontal="left"/>
    </xf>
    <xf numFmtId="164" fontId="0" fillId="0" borderId="0" xfId="0" applyNumberFormat="1"/>
    <xf numFmtId="0" fontId="4" fillId="0" borderId="0" xfId="0" applyFont="1" applyFill="1" applyBorder="1"/>
    <xf numFmtId="0" fontId="14" fillId="0" borderId="0" xfId="0" applyFont="1"/>
    <xf numFmtId="0" fontId="8" fillId="0" borderId="0" xfId="0" applyFont="1" applyFill="1" applyBorder="1"/>
    <xf numFmtId="0" fontId="12" fillId="13" borderId="0" xfId="0" applyFont="1" applyFill="1"/>
    <xf numFmtId="0" fontId="4" fillId="14" borderId="0" xfId="0" applyFont="1" applyFill="1"/>
    <xf numFmtId="0" fontId="7" fillId="0" borderId="0" xfId="0" applyFont="1" applyAlignment="1">
      <alignment horizontal="center"/>
    </xf>
    <xf numFmtId="2" fontId="4" fillId="0" borderId="0" xfId="0" applyNumberFormat="1" applyFont="1" applyAlignment="1">
      <alignment horizontal="center"/>
    </xf>
    <xf numFmtId="0" fontId="11" fillId="0" borderId="0" xfId="0" applyFont="1"/>
    <xf numFmtId="0" fontId="4" fillId="15" borderId="0" xfId="0" applyFont="1" applyFill="1"/>
    <xf numFmtId="3" fontId="0" fillId="0" borderId="0" xfId="0" applyNumberFormat="1"/>
    <xf numFmtId="9" fontId="34" fillId="0" borderId="0" xfId="2" applyFont="1"/>
    <xf numFmtId="166" fontId="0" fillId="0" borderId="0" xfId="4" applyNumberFormat="1" applyFont="1"/>
    <xf numFmtId="164" fontId="6" fillId="0" borderId="0" xfId="1" applyNumberFormat="1" applyFont="1" applyFill="1"/>
    <xf numFmtId="49" fontId="9" fillId="0" borderId="0" xfId="0" applyNumberFormat="1" applyFont="1" applyFill="1" applyAlignment="1">
      <alignment horizontal="center"/>
    </xf>
    <xf numFmtId="43" fontId="6" fillId="0" borderId="0" xfId="1" applyFont="1" applyFill="1"/>
    <xf numFmtId="43" fontId="6" fillId="0" borderId="0" xfId="1" applyNumberFormat="1" applyFont="1" applyFill="1" applyBorder="1"/>
    <xf numFmtId="2" fontId="0" fillId="0" borderId="0" xfId="1" applyNumberFormat="1" applyFont="1" applyFill="1" applyBorder="1"/>
    <xf numFmtId="2" fontId="6" fillId="0" borderId="0" xfId="1" applyNumberFormat="1" applyFont="1" applyFill="1" applyBorder="1"/>
    <xf numFmtId="2" fontId="9" fillId="4" borderId="0" xfId="0" applyNumberFormat="1" applyFont="1" applyFill="1" applyBorder="1"/>
    <xf numFmtId="164" fontId="0" fillId="4" borderId="0" xfId="1" applyNumberFormat="1" applyFont="1" applyFill="1"/>
    <xf numFmtId="43" fontId="0" fillId="4" borderId="0" xfId="1" applyNumberFormat="1" applyFont="1" applyFill="1"/>
    <xf numFmtId="0" fontId="9" fillId="4" borderId="22" xfId="0" applyFont="1" applyFill="1" applyBorder="1" applyAlignment="1">
      <alignment horizontal="right"/>
    </xf>
    <xf numFmtId="43" fontId="26" fillId="4" borderId="0" xfId="1" applyNumberFormat="1" applyFont="1" applyFill="1"/>
    <xf numFmtId="0" fontId="0" fillId="4" borderId="0" xfId="0" applyFill="1" applyBorder="1" applyAlignment="1">
      <alignment horizontal="right"/>
    </xf>
    <xf numFmtId="0" fontId="6" fillId="4" borderId="0" xfId="0" applyFont="1" applyFill="1" applyBorder="1"/>
    <xf numFmtId="9" fontId="6" fillId="4" borderId="0" xfId="2" applyNumberFormat="1" applyFont="1" applyFill="1" applyBorder="1"/>
    <xf numFmtId="49" fontId="6" fillId="4" borderId="0" xfId="1" applyNumberFormat="1" applyFont="1" applyFill="1" applyBorder="1" applyAlignment="1">
      <alignment horizontal="right"/>
    </xf>
    <xf numFmtId="0" fontId="9" fillId="4" borderId="24" xfId="0" applyFont="1" applyFill="1" applyBorder="1" applyAlignment="1">
      <alignment horizontal="left" indent="1"/>
    </xf>
    <xf numFmtId="164" fontId="0" fillId="4" borderId="26" xfId="1" applyNumberFormat="1" applyFont="1" applyFill="1" applyBorder="1"/>
    <xf numFmtId="0" fontId="15" fillId="4" borderId="0" xfId="0" applyFont="1" applyFill="1" applyBorder="1" applyAlignment="1">
      <alignment horizontal="left"/>
    </xf>
    <xf numFmtId="0" fontId="4" fillId="4" borderId="0" xfId="0" applyFont="1" applyFill="1" applyBorder="1" applyAlignment="1">
      <alignment horizontal="center"/>
    </xf>
    <xf numFmtId="0" fontId="4" fillId="4" borderId="23" xfId="0" applyFont="1" applyFill="1" applyBorder="1" applyAlignment="1">
      <alignment horizontal="center"/>
    </xf>
    <xf numFmtId="0" fontId="0" fillId="0" borderId="0" xfId="0" applyAlignment="1">
      <alignment vertical="center"/>
    </xf>
    <xf numFmtId="43" fontId="6" fillId="0" borderId="0" xfId="0" applyNumberFormat="1" applyFont="1" applyAlignment="1">
      <alignment horizontal="left"/>
    </xf>
    <xf numFmtId="9" fontId="0" fillId="0" borderId="0" xfId="2" applyFont="1" applyFill="1"/>
    <xf numFmtId="0" fontId="4" fillId="4" borderId="0" xfId="0" applyFont="1" applyFill="1" applyAlignment="1">
      <alignment horizontal="center"/>
    </xf>
    <xf numFmtId="43" fontId="9" fillId="4" borderId="0" xfId="1" applyFont="1" applyFill="1"/>
    <xf numFmtId="164" fontId="9" fillId="4" borderId="0" xfId="1" applyNumberFormat="1" applyFont="1" applyFill="1"/>
    <xf numFmtId="0" fontId="15" fillId="4" borderId="0" xfId="0" applyFont="1" applyFill="1"/>
    <xf numFmtId="0" fontId="16" fillId="4" borderId="0" xfId="0" applyFont="1" applyFill="1"/>
    <xf numFmtId="0" fontId="6" fillId="0" borderId="35" xfId="0" applyFont="1" applyFill="1" applyBorder="1"/>
    <xf numFmtId="0" fontId="15" fillId="16" borderId="0" xfId="0" applyFont="1" applyFill="1" applyBorder="1"/>
    <xf numFmtId="0" fontId="16" fillId="16" borderId="0" xfId="0" applyFont="1" applyFill="1" applyBorder="1"/>
    <xf numFmtId="0" fontId="0" fillId="16" borderId="0" xfId="0" applyFill="1" applyBorder="1" applyAlignment="1">
      <alignment horizontal="right"/>
    </xf>
    <xf numFmtId="43" fontId="0" fillId="16" borderId="0" xfId="1" applyNumberFormat="1" applyFont="1" applyFill="1" applyBorder="1"/>
    <xf numFmtId="0" fontId="0" fillId="16" borderId="39" xfId="0" applyFill="1" applyBorder="1"/>
    <xf numFmtId="0" fontId="0" fillId="16" borderId="0" xfId="0" applyFill="1" applyBorder="1"/>
    <xf numFmtId="0" fontId="0" fillId="16" borderId="40" xfId="0" applyFill="1" applyBorder="1"/>
    <xf numFmtId="0" fontId="4" fillId="16" borderId="22" xfId="0" applyFont="1" applyFill="1" applyBorder="1"/>
    <xf numFmtId="0" fontId="9" fillId="0" borderId="0" xfId="0" applyFont="1" applyAlignment="1">
      <alignment horizontal="left"/>
    </xf>
    <xf numFmtId="0" fontId="8" fillId="4" borderId="36" xfId="0" applyFont="1" applyFill="1" applyBorder="1"/>
    <xf numFmtId="0" fontId="15" fillId="4" borderId="37" xfId="0" applyFont="1" applyFill="1" applyBorder="1"/>
    <xf numFmtId="0" fontId="0" fillId="4" borderId="37" xfId="0" applyFill="1" applyBorder="1"/>
    <xf numFmtId="0" fontId="16" fillId="4" borderId="37" xfId="0" applyFont="1" applyFill="1" applyBorder="1"/>
    <xf numFmtId="0" fontId="0" fillId="4" borderId="38" xfId="0" applyFill="1" applyBorder="1"/>
    <xf numFmtId="0" fontId="8" fillId="4" borderId="39" xfId="0" applyFont="1" applyFill="1" applyBorder="1"/>
    <xf numFmtId="0" fontId="4" fillId="4" borderId="40" xfId="0" applyFont="1" applyFill="1" applyBorder="1" applyAlignment="1">
      <alignment horizontal="center"/>
    </xf>
    <xf numFmtId="0" fontId="0" fillId="4" borderId="39" xfId="0" applyFill="1" applyBorder="1"/>
    <xf numFmtId="164" fontId="0" fillId="4" borderId="40" xfId="1" applyNumberFormat="1" applyFont="1" applyFill="1" applyBorder="1"/>
    <xf numFmtId="0" fontId="9" fillId="4" borderId="41" xfId="0" applyFont="1" applyFill="1" applyBorder="1" applyAlignment="1">
      <alignment horizontal="left" indent="1"/>
    </xf>
    <xf numFmtId="0" fontId="0" fillId="4" borderId="42" xfId="0" applyFill="1" applyBorder="1"/>
    <xf numFmtId="164" fontId="0" fillId="4" borderId="43" xfId="1" applyNumberFormat="1" applyFont="1" applyFill="1" applyBorder="1"/>
    <xf numFmtId="0" fontId="0" fillId="16" borderId="22" xfId="0" applyFill="1" applyBorder="1"/>
    <xf numFmtId="0" fontId="0" fillId="16" borderId="22" xfId="0" applyFont="1" applyFill="1" applyBorder="1" applyAlignment="1"/>
    <xf numFmtId="0" fontId="11" fillId="16" borderId="39" xfId="0" applyFont="1" applyFill="1" applyBorder="1"/>
    <xf numFmtId="167" fontId="9" fillId="4" borderId="0" xfId="1" applyNumberFormat="1" applyFont="1" applyFill="1" applyBorder="1" applyAlignment="1">
      <alignment horizontal="left" indent="1"/>
    </xf>
    <xf numFmtId="167" fontId="21" fillId="0" borderId="0" xfId="1" applyNumberFormat="1" applyFont="1" applyFill="1" applyBorder="1"/>
    <xf numFmtId="49" fontId="21" fillId="0" borderId="0" xfId="0" applyNumberFormat="1" applyFont="1" applyAlignment="1">
      <alignment horizontal="center"/>
    </xf>
    <xf numFmtId="0" fontId="7" fillId="0" borderId="6" xfId="0" applyFont="1" applyBorder="1"/>
    <xf numFmtId="0" fontId="7" fillId="0" borderId="0" xfId="0" applyFont="1"/>
    <xf numFmtId="0" fontId="7" fillId="0" borderId="4" xfId="0" applyFont="1" applyBorder="1"/>
    <xf numFmtId="0" fontId="7" fillId="0" borderId="4" xfId="0" applyFont="1" applyBorder="1" applyAlignment="1">
      <alignment horizontal="center"/>
    </xf>
    <xf numFmtId="0" fontId="7" fillId="0" borderId="5" xfId="0" applyFont="1" applyBorder="1"/>
    <xf numFmtId="49" fontId="21" fillId="0" borderId="0" xfId="0" applyNumberFormat="1" applyFont="1" applyFill="1" applyAlignment="1">
      <alignment horizontal="center"/>
    </xf>
    <xf numFmtId="9" fontId="9" fillId="0" borderId="0" xfId="0" applyNumberFormat="1" applyFont="1" applyAlignment="1">
      <alignment horizontal="center"/>
    </xf>
    <xf numFmtId="164" fontId="0" fillId="16" borderId="0" xfId="1" applyNumberFormat="1" applyFont="1" applyFill="1" applyBorder="1"/>
    <xf numFmtId="164" fontId="4" fillId="16" borderId="0" xfId="1" applyNumberFormat="1" applyFont="1" applyFill="1" applyBorder="1"/>
    <xf numFmtId="164" fontId="0" fillId="4" borderId="37" xfId="1" applyNumberFormat="1" applyFont="1" applyFill="1" applyBorder="1"/>
    <xf numFmtId="0" fontId="0" fillId="4" borderId="40" xfId="0" applyFill="1" applyBorder="1"/>
    <xf numFmtId="0" fontId="4" fillId="4" borderId="40" xfId="0" applyFont="1" applyFill="1" applyBorder="1"/>
    <xf numFmtId="0" fontId="0" fillId="5" borderId="44" xfId="0" applyFill="1" applyBorder="1"/>
    <xf numFmtId="0" fontId="9" fillId="16" borderId="39" xfId="0" applyFont="1" applyFill="1" applyBorder="1" applyAlignment="1">
      <alignment horizontal="left" indent="1"/>
    </xf>
    <xf numFmtId="0" fontId="11" fillId="4" borderId="39" xfId="0" applyFont="1" applyFill="1" applyBorder="1"/>
    <xf numFmtId="0" fontId="9" fillId="4" borderId="40" xfId="0" applyFont="1" applyFill="1" applyBorder="1"/>
    <xf numFmtId="0" fontId="0" fillId="4" borderId="39" xfId="0" applyFont="1" applyFill="1" applyBorder="1" applyAlignment="1">
      <alignment horizontal="left"/>
    </xf>
    <xf numFmtId="0" fontId="0" fillId="4" borderId="40" xfId="0" applyFont="1" applyFill="1" applyBorder="1"/>
    <xf numFmtId="164" fontId="0" fillId="16" borderId="0" xfId="0" applyNumberFormat="1" applyFill="1" applyBorder="1"/>
    <xf numFmtId="0" fontId="11" fillId="4" borderId="39" xfId="0" applyFont="1" applyFill="1" applyBorder="1" applyAlignment="1">
      <alignment vertical="center"/>
    </xf>
    <xf numFmtId="0" fontId="9" fillId="5" borderId="44" xfId="0" applyFont="1" applyFill="1" applyBorder="1" applyAlignment="1">
      <alignment horizontal="left" indent="1"/>
    </xf>
    <xf numFmtId="0" fontId="0" fillId="16" borderId="39" xfId="0" applyFont="1" applyFill="1" applyBorder="1" applyAlignment="1">
      <alignment horizontal="left"/>
    </xf>
    <xf numFmtId="164" fontId="9" fillId="16" borderId="0" xfId="1" applyNumberFormat="1" applyFont="1" applyFill="1" applyBorder="1"/>
    <xf numFmtId="0" fontId="9" fillId="16" borderId="40" xfId="0" applyFont="1" applyFill="1" applyBorder="1"/>
    <xf numFmtId="0" fontId="4" fillId="4" borderId="39" xfId="0" applyFont="1" applyFill="1" applyBorder="1"/>
    <xf numFmtId="0" fontId="0" fillId="5" borderId="10" xfId="0" applyFill="1" applyBorder="1" applyAlignment="1">
      <alignment vertical="center"/>
    </xf>
    <xf numFmtId="0" fontId="9" fillId="16" borderId="39" xfId="0" applyFont="1" applyFill="1" applyBorder="1" applyAlignment="1">
      <alignment horizontal="left" vertical="center" indent="1"/>
    </xf>
    <xf numFmtId="0" fontId="9" fillId="16" borderId="0" xfId="0" applyFont="1" applyFill="1" applyBorder="1"/>
    <xf numFmtId="0" fontId="9" fillId="16" borderId="0" xfId="0" applyFont="1" applyFill="1" applyBorder="1" applyAlignment="1">
      <alignment vertical="center"/>
    </xf>
    <xf numFmtId="0" fontId="9" fillId="16" borderId="40" xfId="0" applyFont="1" applyFill="1" applyBorder="1" applyAlignment="1">
      <alignment vertical="center"/>
    </xf>
    <xf numFmtId="0" fontId="4" fillId="4" borderId="0" xfId="0" applyFont="1" applyFill="1" applyBorder="1" applyAlignment="1">
      <alignment horizontal="center"/>
    </xf>
    <xf numFmtId="0" fontId="4" fillId="4" borderId="23" xfId="0" applyFont="1" applyFill="1" applyBorder="1" applyAlignment="1">
      <alignment horizontal="center"/>
    </xf>
    <xf numFmtId="0" fontId="0" fillId="0" borderId="0" xfId="0" applyAlignment="1">
      <alignment vertical="center"/>
    </xf>
    <xf numFmtId="0" fontId="9" fillId="0" borderId="0" xfId="0" applyFont="1" applyAlignment="1">
      <alignment vertical="top"/>
    </xf>
    <xf numFmtId="43" fontId="6" fillId="0" borderId="0" xfId="1" applyNumberFormat="1" applyFont="1" applyFill="1"/>
    <xf numFmtId="167" fontId="9" fillId="0" borderId="0" xfId="1" applyNumberFormat="1" applyFont="1" applyFill="1" applyBorder="1"/>
    <xf numFmtId="167" fontId="21" fillId="0" borderId="0" xfId="1" applyNumberFormat="1" applyFont="1" applyFill="1"/>
    <xf numFmtId="0" fontId="0" fillId="0" borderId="0" xfId="0" applyBorder="1" applyAlignment="1">
      <alignment horizontal="left"/>
    </xf>
    <xf numFmtId="164" fontId="3" fillId="0" borderId="0" xfId="0" applyNumberFormat="1" applyFont="1" applyFill="1" applyBorder="1"/>
    <xf numFmtId="164" fontId="4" fillId="0" borderId="0" xfId="0" applyNumberFormat="1" applyFont="1" applyAlignment="1">
      <alignment horizontal="center"/>
    </xf>
    <xf numFmtId="164" fontId="0" fillId="0" borderId="0" xfId="0" applyNumberFormat="1" applyFont="1" applyAlignment="1">
      <alignment horizontal="center"/>
    </xf>
    <xf numFmtId="0" fontId="0" fillId="0" borderId="25" xfId="0" applyBorder="1"/>
    <xf numFmtId="2" fontId="0" fillId="0" borderId="0" xfId="0" applyNumberFormat="1"/>
    <xf numFmtId="168" fontId="0" fillId="0" borderId="0" xfId="0" applyNumberFormat="1"/>
    <xf numFmtId="1" fontId="0" fillId="0" borderId="0" xfId="0" applyNumberFormat="1"/>
    <xf numFmtId="3" fontId="0" fillId="0" borderId="0" xfId="1" applyNumberFormat="1" applyFont="1"/>
    <xf numFmtId="3" fontId="0" fillId="0" borderId="0" xfId="1" applyNumberFormat="1" applyFont="1" applyAlignment="1">
      <alignment horizontal="center"/>
    </xf>
    <xf numFmtId="0" fontId="32" fillId="0" borderId="0" xfId="0" applyFont="1" applyFill="1" applyBorder="1"/>
    <xf numFmtId="9" fontId="35" fillId="0" borderId="0" xfId="2" applyFont="1" applyFill="1" applyBorder="1"/>
    <xf numFmtId="9" fontId="35" fillId="0" borderId="0" xfId="2" applyNumberFormat="1" applyFont="1" applyFill="1" applyBorder="1"/>
    <xf numFmtId="9" fontId="9" fillId="0" borderId="0" xfId="2" applyFont="1"/>
    <xf numFmtId="43" fontId="0" fillId="0" borderId="0" xfId="1" applyNumberFormat="1" applyFont="1"/>
    <xf numFmtId="0" fontId="0" fillId="16" borderId="39" xfId="0" applyFill="1" applyBorder="1" applyAlignment="1"/>
    <xf numFmtId="0" fontId="4" fillId="4" borderId="14" xfId="0" applyFont="1" applyFill="1" applyBorder="1"/>
    <xf numFmtId="0" fontId="4" fillId="4" borderId="15" xfId="0" applyFont="1" applyFill="1" applyBorder="1"/>
    <xf numFmtId="164" fontId="0" fillId="4" borderId="29" xfId="0" applyNumberFormat="1" applyFill="1" applyBorder="1"/>
    <xf numFmtId="0" fontId="0" fillId="4" borderId="45" xfId="0" applyFill="1" applyBorder="1"/>
    <xf numFmtId="0" fontId="9" fillId="4" borderId="22" xfId="0" applyFont="1" applyFill="1" applyBorder="1"/>
    <xf numFmtId="169" fontId="0" fillId="0" borderId="0" xfId="0" applyNumberFormat="1"/>
    <xf numFmtId="164" fontId="4" fillId="4" borderId="18" xfId="0" applyNumberFormat="1" applyFont="1" applyFill="1" applyBorder="1" applyAlignment="1">
      <alignment horizontal="center"/>
    </xf>
    <xf numFmtId="164" fontId="4" fillId="4" borderId="18" xfId="1" applyNumberFormat="1" applyFont="1" applyFill="1" applyBorder="1" applyAlignment="1">
      <alignment horizontal="center"/>
    </xf>
    <xf numFmtId="0" fontId="4" fillId="4" borderId="46" xfId="0" applyFont="1" applyFill="1" applyBorder="1"/>
    <xf numFmtId="0" fontId="4" fillId="4" borderId="47" xfId="0" applyFont="1" applyFill="1" applyBorder="1"/>
    <xf numFmtId="9" fontId="0" fillId="0" borderId="0" xfId="2" applyFont="1" applyBorder="1"/>
    <xf numFmtId="9" fontId="0" fillId="4" borderId="20" xfId="2" applyFont="1" applyFill="1" applyBorder="1" applyAlignment="1">
      <alignment horizontal="center"/>
    </xf>
    <xf numFmtId="9" fontId="0" fillId="4" borderId="20" xfId="2" applyFont="1" applyFill="1" applyBorder="1"/>
    <xf numFmtId="9" fontId="0" fillId="4" borderId="0" xfId="2" applyFont="1" applyFill="1" applyBorder="1" applyAlignment="1">
      <alignment horizontal="center"/>
    </xf>
    <xf numFmtId="9" fontId="0" fillId="4" borderId="25" xfId="2" applyFont="1" applyFill="1" applyBorder="1" applyAlignment="1">
      <alignment horizontal="center"/>
    </xf>
    <xf numFmtId="9" fontId="0" fillId="4" borderId="25" xfId="2" applyFont="1" applyFill="1" applyBorder="1"/>
    <xf numFmtId="9" fontId="4" fillId="4" borderId="0" xfId="2" applyFont="1" applyFill="1" applyBorder="1" applyAlignment="1">
      <alignment horizontal="left" indent="1"/>
    </xf>
    <xf numFmtId="9" fontId="0" fillId="4" borderId="0" xfId="2" applyFont="1" applyFill="1" applyBorder="1" applyAlignment="1">
      <alignment horizontal="left" indent="1"/>
    </xf>
    <xf numFmtId="0" fontId="0" fillId="4" borderId="22" xfId="0" applyFont="1" applyFill="1" applyBorder="1" applyAlignment="1">
      <alignment vertical="top"/>
    </xf>
    <xf numFmtId="0" fontId="9" fillId="4" borderId="0" xfId="0" applyFont="1" applyFill="1" applyBorder="1" applyAlignment="1">
      <alignment vertical="top"/>
    </xf>
    <xf numFmtId="0" fontId="0" fillId="4" borderId="22" xfId="0" applyFill="1" applyBorder="1" applyAlignment="1">
      <alignment vertical="top"/>
    </xf>
    <xf numFmtId="9" fontId="9" fillId="4" borderId="0" xfId="0" applyNumberFormat="1" applyFont="1" applyFill="1" applyBorder="1" applyAlignment="1">
      <alignment horizontal="left"/>
    </xf>
    <xf numFmtId="0" fontId="32" fillId="0" borderId="0" xfId="0" applyFont="1"/>
    <xf numFmtId="0" fontId="32" fillId="0" borderId="0" xfId="0" applyFont="1" applyAlignment="1">
      <alignment horizontal="center"/>
    </xf>
    <xf numFmtId="166" fontId="0" fillId="0" borderId="0" xfId="4" applyNumberFormat="1" applyFont="1" applyBorder="1"/>
    <xf numFmtId="0" fontId="4" fillId="0" borderId="20" xfId="0" applyFont="1" applyBorder="1"/>
    <xf numFmtId="3" fontId="4" fillId="0" borderId="20" xfId="0" applyNumberFormat="1" applyFont="1" applyBorder="1"/>
    <xf numFmtId="9" fontId="4" fillId="0" borderId="20" xfId="0" applyNumberFormat="1" applyFont="1" applyBorder="1"/>
    <xf numFmtId="166" fontId="4" fillId="0" borderId="20" xfId="4" applyNumberFormat="1" applyFont="1" applyBorder="1"/>
    <xf numFmtId="0" fontId="0" fillId="0" borderId="49" xfId="0" applyBorder="1"/>
    <xf numFmtId="166" fontId="0" fillId="0" borderId="49" xfId="4" applyNumberFormat="1" applyFont="1" applyBorder="1"/>
    <xf numFmtId="9" fontId="0" fillId="0" borderId="49" xfId="2" applyFont="1" applyBorder="1"/>
    <xf numFmtId="0" fontId="0" fillId="0" borderId="50" xfId="0" applyBorder="1"/>
    <xf numFmtId="166" fontId="0" fillId="0" borderId="50" xfId="4" applyNumberFormat="1" applyFont="1" applyBorder="1"/>
    <xf numFmtId="9" fontId="0" fillId="0" borderId="50" xfId="2" applyFont="1" applyBorder="1"/>
    <xf numFmtId="3" fontId="0" fillId="0" borderId="0" xfId="0" applyNumberFormat="1" applyBorder="1"/>
    <xf numFmtId="4" fontId="6" fillId="0" borderId="0" xfId="0" applyNumberFormat="1" applyFont="1" applyFill="1" applyBorder="1"/>
    <xf numFmtId="9" fontId="34" fillId="0" borderId="0" xfId="2" applyFont="1" applyBorder="1"/>
    <xf numFmtId="2" fontId="0" fillId="0" borderId="0" xfId="0" applyNumberFormat="1" applyBorder="1" applyAlignment="1">
      <alignment horizontal="center"/>
    </xf>
    <xf numFmtId="0" fontId="9" fillId="0" borderId="0" xfId="0" applyFont="1" applyBorder="1" applyAlignment="1">
      <alignment horizontal="center"/>
    </xf>
    <xf numFmtId="0" fontId="9" fillId="0" borderId="0" xfId="0" applyFont="1" applyBorder="1"/>
    <xf numFmtId="0" fontId="0" fillId="0" borderId="48" xfId="0" applyBorder="1"/>
    <xf numFmtId="3" fontId="0" fillId="0" borderId="48" xfId="0" applyNumberFormat="1" applyBorder="1"/>
    <xf numFmtId="9" fontId="0" fillId="0" borderId="48" xfId="2" applyFont="1" applyBorder="1"/>
    <xf numFmtId="9" fontId="0" fillId="0" borderId="48" xfId="2" applyFont="1" applyFill="1" applyBorder="1"/>
    <xf numFmtId="9" fontId="34" fillId="0" borderId="48" xfId="2" applyFont="1" applyBorder="1"/>
    <xf numFmtId="166" fontId="0" fillId="0" borderId="48" xfId="4" applyNumberFormat="1" applyFont="1" applyBorder="1"/>
    <xf numFmtId="2" fontId="0" fillId="0" borderId="48" xfId="0" applyNumberFormat="1" applyBorder="1" applyAlignment="1">
      <alignment horizontal="center"/>
    </xf>
    <xf numFmtId="0" fontId="9" fillId="0" borderId="48" xfId="0" applyFont="1" applyBorder="1" applyAlignment="1">
      <alignment horizontal="center"/>
    </xf>
    <xf numFmtId="0" fontId="9" fillId="0" borderId="48" xfId="0" applyFont="1" applyBorder="1"/>
    <xf numFmtId="0" fontId="34" fillId="0" borderId="18" xfId="0" applyFont="1" applyBorder="1" applyAlignment="1">
      <alignment horizontal="center"/>
    </xf>
    <xf numFmtId="0" fontId="0" fillId="4" borderId="18" xfId="0" applyFill="1" applyBorder="1" applyAlignment="1">
      <alignment horizontal="center"/>
    </xf>
    <xf numFmtId="165" fontId="0" fillId="0" borderId="0" xfId="2" applyNumberFormat="1" applyFont="1"/>
    <xf numFmtId="1" fontId="0" fillId="0" borderId="48" xfId="0" applyNumberFormat="1" applyBorder="1"/>
    <xf numFmtId="0" fontId="0" fillId="0" borderId="0" xfId="0" applyBorder="1" applyAlignment="1">
      <alignment horizontal="center"/>
    </xf>
    <xf numFmtId="0" fontId="4" fillId="0" borderId="20" xfId="0" applyFont="1" applyBorder="1" applyAlignment="1">
      <alignment horizontal="center"/>
    </xf>
    <xf numFmtId="165" fontId="0" fillId="0" borderId="48" xfId="2" applyNumberFormat="1" applyFont="1" applyBorder="1"/>
    <xf numFmtId="10" fontId="0" fillId="0" borderId="50" xfId="2" applyNumberFormat="1" applyFont="1" applyBorder="1"/>
    <xf numFmtId="9" fontId="0" fillId="0" borderId="48" xfId="2" applyNumberFormat="1" applyFont="1" applyBorder="1"/>
    <xf numFmtId="9" fontId="0" fillId="0" borderId="0" xfId="2" applyNumberFormat="1" applyFont="1" applyBorder="1"/>
    <xf numFmtId="3" fontId="0" fillId="4" borderId="18" xfId="0" applyNumberFormat="1" applyFill="1" applyBorder="1" applyAlignment="1">
      <alignment horizontal="center"/>
    </xf>
    <xf numFmtId="165" fontId="34" fillId="0" borderId="0" xfId="2" applyNumberFormat="1" applyFont="1" applyAlignment="1">
      <alignment horizontal="center"/>
    </xf>
    <xf numFmtId="9" fontId="37" fillId="0" borderId="0" xfId="0" applyNumberFormat="1" applyFont="1" applyAlignment="1">
      <alignment horizontal="center"/>
    </xf>
    <xf numFmtId="9" fontId="34" fillId="0" borderId="0" xfId="0" applyNumberFormat="1" applyFont="1" applyAlignment="1">
      <alignment horizontal="center"/>
    </xf>
    <xf numFmtId="166" fontId="0" fillId="0" borderId="0" xfId="0" applyNumberFormat="1" applyFont="1" applyBorder="1"/>
    <xf numFmtId="166" fontId="0" fillId="0" borderId="0" xfId="0" applyNumberFormat="1" applyFont="1" applyBorder="1" applyAlignment="1">
      <alignment vertical="center"/>
    </xf>
    <xf numFmtId="165" fontId="0" fillId="0" borderId="0" xfId="2" applyNumberFormat="1" applyFont="1" applyAlignment="1">
      <alignment horizontal="center"/>
    </xf>
    <xf numFmtId="9" fontId="0" fillId="0" borderId="0" xfId="2" applyNumberFormat="1" applyFont="1" applyAlignment="1">
      <alignment horizontal="center"/>
    </xf>
    <xf numFmtId="0" fontId="21" fillId="0" borderId="0" xfId="0" applyFont="1"/>
    <xf numFmtId="0" fontId="21" fillId="0" borderId="0" xfId="0" applyFont="1" applyAlignment="1">
      <alignment horizontal="left" indent="1"/>
    </xf>
    <xf numFmtId="49" fontId="0" fillId="0" borderId="0" xfId="0" applyNumberFormat="1"/>
    <xf numFmtId="49" fontId="17" fillId="7" borderId="0" xfId="0" applyNumberFormat="1" applyFont="1" applyFill="1"/>
    <xf numFmtId="49" fontId="18" fillId="7" borderId="0" xfId="0" applyNumberFormat="1" applyFont="1" applyFill="1" applyAlignment="1">
      <alignment horizontal="center"/>
    </xf>
    <xf numFmtId="49" fontId="19" fillId="8" borderId="0" xfId="0" applyNumberFormat="1" applyFont="1" applyFill="1"/>
    <xf numFmtId="49" fontId="4" fillId="8" borderId="0" xfId="0" applyNumberFormat="1" applyFont="1" applyFill="1"/>
    <xf numFmtId="49" fontId="4" fillId="0" borderId="0" xfId="0" applyNumberFormat="1" applyFont="1"/>
    <xf numFmtId="49" fontId="0" fillId="0" borderId="0" xfId="0" applyNumberFormat="1" applyFont="1"/>
    <xf numFmtId="49" fontId="9" fillId="0" borderId="0" xfId="0" applyNumberFormat="1" applyFont="1"/>
    <xf numFmtId="49" fontId="36" fillId="0" borderId="0" xfId="0" applyNumberFormat="1" applyFont="1"/>
    <xf numFmtId="49" fontId="4" fillId="0" borderId="0" xfId="0" applyNumberFormat="1" applyFont="1" applyFill="1" applyBorder="1"/>
    <xf numFmtId="49" fontId="0" fillId="0" borderId="0" xfId="0" applyNumberFormat="1" applyAlignment="1">
      <alignment wrapText="1"/>
    </xf>
    <xf numFmtId="49" fontId="0" fillId="0" borderId="0" xfId="0" applyNumberFormat="1" applyAlignment="1"/>
    <xf numFmtId="0" fontId="32" fillId="0" borderId="0" xfId="0" applyFont="1" applyAlignment="1">
      <alignment horizontal="center"/>
    </xf>
    <xf numFmtId="9" fontId="0" fillId="4" borderId="0" xfId="2" applyFont="1" applyFill="1" applyBorder="1" applyAlignment="1">
      <alignment horizontal="left" wrapText="1" indent="1"/>
    </xf>
    <xf numFmtId="9" fontId="0" fillId="4" borderId="23" xfId="2" applyFont="1" applyFill="1" applyBorder="1" applyAlignment="1">
      <alignment horizontal="left" wrapText="1" indent="1"/>
    </xf>
    <xf numFmtId="9" fontId="1" fillId="4" borderId="0" xfId="2" applyFont="1" applyFill="1" applyBorder="1" applyAlignment="1">
      <alignment horizontal="left" wrapText="1" indent="1"/>
    </xf>
    <xf numFmtId="9" fontId="1" fillId="4" borderId="23" xfId="2" applyFont="1" applyFill="1" applyBorder="1" applyAlignment="1">
      <alignment horizontal="left" wrapText="1" indent="1"/>
    </xf>
    <xf numFmtId="0" fontId="4" fillId="4" borderId="0" xfId="0" applyFont="1" applyFill="1" applyBorder="1" applyAlignment="1">
      <alignment horizontal="center"/>
    </xf>
    <xf numFmtId="0" fontId="4" fillId="4" borderId="23" xfId="0" applyFont="1" applyFill="1" applyBorder="1" applyAlignment="1">
      <alignment horizontal="center"/>
    </xf>
    <xf numFmtId="0" fontId="4" fillId="4" borderId="15" xfId="0" applyFont="1" applyFill="1" applyBorder="1" applyAlignment="1">
      <alignment horizontal="center"/>
    </xf>
    <xf numFmtId="3" fontId="0" fillId="0" borderId="49" xfId="0" applyNumberFormat="1" applyBorder="1" applyAlignment="1">
      <alignment vertical="center"/>
    </xf>
    <xf numFmtId="3" fontId="0" fillId="0" borderId="50" xfId="0" applyNumberFormat="1" applyBorder="1" applyAlignment="1">
      <alignment vertical="center"/>
    </xf>
    <xf numFmtId="3" fontId="0" fillId="0" borderId="0" xfId="0" applyNumberFormat="1" applyBorder="1" applyAlignment="1">
      <alignment vertical="center"/>
    </xf>
    <xf numFmtId="0" fontId="4" fillId="0" borderId="0" xfId="0" applyFont="1" applyAlignment="1">
      <alignment horizontal="right"/>
    </xf>
    <xf numFmtId="9" fontId="0" fillId="0" borderId="49" xfId="2" applyFont="1" applyBorder="1" applyAlignment="1">
      <alignment vertical="center"/>
    </xf>
    <xf numFmtId="9" fontId="0" fillId="0" borderId="0" xfId="2" applyFont="1" applyBorder="1" applyAlignment="1">
      <alignment vertical="center"/>
    </xf>
    <xf numFmtId="9" fontId="0" fillId="0" borderId="50" xfId="2" applyFont="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0" fillId="0" borderId="49" xfId="0" applyBorder="1" applyAlignment="1">
      <alignment vertical="center" wrapText="1"/>
    </xf>
    <xf numFmtId="0" fontId="0" fillId="0" borderId="50" xfId="0" applyBorder="1" applyAlignment="1">
      <alignment vertical="center" wrapText="1"/>
    </xf>
    <xf numFmtId="2" fontId="0" fillId="0" borderId="49" xfId="0" applyNumberFormat="1" applyBorder="1" applyAlignment="1">
      <alignment horizontal="center" vertical="center"/>
    </xf>
    <xf numFmtId="2" fontId="0" fillId="0" borderId="50" xfId="0" applyNumberFormat="1" applyBorder="1" applyAlignment="1">
      <alignment horizontal="center" vertical="center"/>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9" fontId="34" fillId="0" borderId="49" xfId="2" applyFont="1" applyBorder="1" applyAlignment="1">
      <alignment vertical="center"/>
    </xf>
    <xf numFmtId="9" fontId="34" fillId="0" borderId="50" xfId="2" applyFont="1" applyBorder="1" applyAlignment="1">
      <alignment vertical="center"/>
    </xf>
    <xf numFmtId="0" fontId="0" fillId="0" borderId="0" xfId="0" applyBorder="1" applyAlignment="1">
      <alignment vertical="center"/>
    </xf>
    <xf numFmtId="0" fontId="9" fillId="0" borderId="0" xfId="0" applyFont="1" applyBorder="1" applyAlignment="1">
      <alignment horizontal="center" vertical="center" wrapText="1"/>
    </xf>
    <xf numFmtId="0" fontId="0" fillId="0" borderId="0" xfId="0" applyBorder="1" applyAlignment="1">
      <alignment vertical="center" wrapText="1"/>
    </xf>
    <xf numFmtId="0" fontId="0" fillId="0" borderId="49" xfId="0" applyFill="1" applyBorder="1" applyAlignment="1">
      <alignment vertical="center" wrapText="1"/>
    </xf>
    <xf numFmtId="0" fontId="0" fillId="0" borderId="0" xfId="0" applyFill="1" applyBorder="1" applyAlignment="1">
      <alignment vertical="center" wrapText="1"/>
    </xf>
    <xf numFmtId="0" fontId="0" fillId="0" borderId="50" xfId="0" applyFill="1" applyBorder="1" applyAlignment="1">
      <alignment vertical="center" wrapText="1"/>
    </xf>
    <xf numFmtId="0" fontId="0" fillId="0" borderId="49" xfId="0" applyFill="1" applyBorder="1" applyAlignment="1">
      <alignment vertical="center"/>
    </xf>
    <xf numFmtId="0" fontId="0" fillId="0" borderId="0" xfId="0" applyFill="1" applyBorder="1" applyAlignment="1">
      <alignment vertical="center"/>
    </xf>
    <xf numFmtId="0" fontId="0" fillId="0" borderId="50" xfId="0" applyFill="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3" fontId="9" fillId="0" borderId="0" xfId="0" applyNumberFormat="1" applyFont="1" applyBorder="1" applyAlignment="1">
      <alignment horizontal="center" vertical="center" wrapText="1"/>
    </xf>
    <xf numFmtId="0" fontId="0" fillId="0" borderId="49" xfId="0" applyBorder="1"/>
    <xf numFmtId="0" fontId="0" fillId="0" borderId="0" xfId="0" applyBorder="1"/>
    <xf numFmtId="0" fontId="0" fillId="0" borderId="50" xfId="0" applyBorder="1"/>
    <xf numFmtId="9" fontId="34" fillId="0" borderId="0" xfId="2" applyFont="1" applyBorder="1" applyAlignment="1">
      <alignment vertical="center"/>
    </xf>
    <xf numFmtId="2" fontId="0" fillId="0" borderId="0" xfId="0" applyNumberFormat="1" applyBorder="1" applyAlignment="1">
      <alignment horizontal="center" vertical="center"/>
    </xf>
    <xf numFmtId="0" fontId="9" fillId="0" borderId="49" xfId="0" applyFont="1" applyBorder="1" applyAlignment="1">
      <alignment horizontal="center"/>
    </xf>
    <xf numFmtId="0" fontId="9" fillId="0" borderId="0" xfId="0" applyFont="1" applyBorder="1" applyAlignment="1">
      <alignment horizontal="center"/>
    </xf>
    <xf numFmtId="0" fontId="9" fillId="0" borderId="50" xfId="0" applyFont="1" applyBorder="1" applyAlignment="1">
      <alignment horizontal="center"/>
    </xf>
    <xf numFmtId="0" fontId="9" fillId="0" borderId="49" xfId="0" applyFont="1" applyBorder="1"/>
    <xf numFmtId="0" fontId="9" fillId="0" borderId="0" xfId="0" applyFont="1" applyBorder="1"/>
    <xf numFmtId="0" fontId="9" fillId="0" borderId="50" xfId="0" applyFont="1" applyBorder="1"/>
    <xf numFmtId="0" fontId="6" fillId="0" borderId="49" xfId="0" applyFont="1" applyBorder="1" applyAlignment="1">
      <alignment vertical="center"/>
    </xf>
    <xf numFmtId="0" fontId="6" fillId="0" borderId="0" xfId="0" applyFont="1" applyBorder="1" applyAlignment="1">
      <alignment vertical="center"/>
    </xf>
    <xf numFmtId="0" fontId="6" fillId="0" borderId="50" xfId="0" applyFont="1" applyBorder="1" applyAlignment="1">
      <alignment vertical="center"/>
    </xf>
    <xf numFmtId="0" fontId="4" fillId="10" borderId="0" xfId="0" applyFont="1" applyFill="1" applyAlignment="1">
      <alignment horizontal="center"/>
    </xf>
    <xf numFmtId="0" fontId="0" fillId="0" borderId="49" xfId="0" applyBorder="1" applyAlignment="1">
      <alignment horizontal="left" vertical="center"/>
    </xf>
    <xf numFmtId="0" fontId="0" fillId="0" borderId="0" xfId="0" applyBorder="1" applyAlignment="1">
      <alignment horizontal="left" vertical="center"/>
    </xf>
    <xf numFmtId="0" fontId="0" fillId="0" borderId="50" xfId="0" applyBorder="1" applyAlignment="1">
      <alignment horizontal="left" vertical="center"/>
    </xf>
    <xf numFmtId="1" fontId="0" fillId="0" borderId="49" xfId="0" applyNumberFormat="1" applyBorder="1" applyAlignment="1">
      <alignment vertical="center"/>
    </xf>
    <xf numFmtId="1" fontId="0" fillId="0" borderId="0" xfId="0" applyNumberFormat="1" applyBorder="1" applyAlignment="1">
      <alignment vertical="center"/>
    </xf>
    <xf numFmtId="1" fontId="0" fillId="0" borderId="50" xfId="0" applyNumberFormat="1" applyBorder="1" applyAlignment="1">
      <alignment vertical="center"/>
    </xf>
    <xf numFmtId="9" fontId="6" fillId="0" borderId="49" xfId="2" applyFont="1" applyBorder="1" applyAlignment="1">
      <alignment vertical="center"/>
    </xf>
    <xf numFmtId="9" fontId="6" fillId="0" borderId="0" xfId="2" applyFont="1" applyBorder="1" applyAlignment="1">
      <alignment vertical="center"/>
    </xf>
    <xf numFmtId="9" fontId="6" fillId="0" borderId="50" xfId="2" applyFont="1" applyBorder="1" applyAlignment="1">
      <alignment vertical="center"/>
    </xf>
  </cellXfs>
  <cellStyles count="5">
    <cellStyle name="Invoer" xfId="3" builtinId="20"/>
    <cellStyle name="Komma" xfId="1" builtinId="3"/>
    <cellStyle name="Procent" xfId="2" builtinId="5"/>
    <cellStyle name="Standaard" xfId="0" builtinId="0"/>
    <cellStyle name="Valuta" xfId="4" builtinId="4"/>
  </cellStyles>
  <dxfs count="766">
    <dxf>
      <font>
        <u val="none"/>
        <color theme="0" tint="-0.34998626667073579"/>
      </font>
      <fill>
        <patternFill>
          <bgColor theme="0" tint="-4.9989318521683403E-2"/>
        </patternFill>
      </fill>
    </dxf>
    <dxf>
      <font>
        <color theme="0" tint="-0.34998626667073579"/>
      </font>
      <fill>
        <patternFill>
          <bgColor theme="0" tint="-4.9989318521683403E-2"/>
        </patternFill>
      </fill>
    </dxf>
    <dxf>
      <font>
        <u val="none"/>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499984740745262"/>
      </font>
      <fill>
        <patternFill>
          <bgColor theme="0" tint="-4.9989318521683403E-2"/>
        </patternFill>
      </fill>
    </dxf>
    <dxf>
      <font>
        <color theme="0" tint="-0.499984740745262"/>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u val="none"/>
        <color theme="0" tint="-0.34998626667073579"/>
      </font>
      <fill>
        <patternFill>
          <bgColor theme="0" tint="-4.9989318521683403E-2"/>
        </patternFill>
      </fill>
    </dxf>
    <dxf>
      <font>
        <color theme="0" tint="-0.34998626667073579"/>
      </font>
      <fill>
        <patternFill>
          <bgColor theme="0" tint="-4.9989318521683403E-2"/>
        </patternFill>
      </fill>
    </dxf>
    <dxf>
      <font>
        <u val="none"/>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499984740745262"/>
      </font>
      <fill>
        <patternFill>
          <bgColor theme="0" tint="-4.9989318521683403E-2"/>
        </patternFill>
      </fill>
    </dxf>
    <dxf>
      <font>
        <color theme="0" tint="-0.499984740745262"/>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u val="none"/>
        <color theme="0" tint="-0.34998626667073579"/>
      </font>
      <fill>
        <patternFill>
          <bgColor theme="0" tint="-4.9989318521683403E-2"/>
        </patternFill>
      </fill>
    </dxf>
    <dxf>
      <font>
        <color theme="0" tint="-0.34998626667073579"/>
      </font>
      <fill>
        <patternFill>
          <bgColor theme="0" tint="-4.9989318521683403E-2"/>
        </patternFill>
      </fill>
    </dxf>
    <dxf>
      <font>
        <u val="none"/>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499984740745262"/>
      </font>
      <fill>
        <patternFill>
          <bgColor theme="0" tint="-4.9989318521683403E-2"/>
        </patternFill>
      </fill>
    </dxf>
    <dxf>
      <font>
        <color theme="0" tint="-0.499984740745262"/>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u val="none"/>
        <color theme="0" tint="-0.34998626667073579"/>
      </font>
      <fill>
        <patternFill>
          <bgColor theme="0" tint="-4.9989318521683403E-2"/>
        </patternFill>
      </fill>
    </dxf>
    <dxf>
      <font>
        <color theme="0" tint="-0.34998626667073579"/>
      </font>
      <fill>
        <patternFill>
          <bgColor theme="0" tint="-4.9989318521683403E-2"/>
        </patternFill>
      </fill>
    </dxf>
    <dxf>
      <font>
        <u val="none"/>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499984740745262"/>
      </font>
      <fill>
        <patternFill>
          <bgColor theme="0" tint="-4.9989318521683403E-2"/>
        </patternFill>
      </fill>
    </dxf>
    <dxf>
      <font>
        <color theme="0" tint="-0.499984740745262"/>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u val="none"/>
        <color theme="0" tint="-0.499984740745262"/>
      </font>
      <fill>
        <patternFill>
          <bgColor theme="0" tint="-4.9989318521683403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numFmt numFmtId="2" formatCode="0.00"/>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auto="1"/>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ill>
        <patternFill patternType="solid">
          <fgColor indexed="64"/>
          <bgColor theme="5"/>
        </patternFill>
      </fill>
    </dxf>
    <dxf>
      <numFmt numFmtId="2" formatCode="0.00"/>
      <alignment horizontal="center" vertical="bottom" textRotation="0" wrapText="0" indent="0" justifyLastLine="0" shrinkToFit="0" readingOrder="0"/>
    </dxf>
    <dxf>
      <fill>
        <patternFill patternType="solid">
          <fgColor indexed="64"/>
          <bgColor rgb="FFFFFF00"/>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2"/>
        <color theme="1"/>
        <name val="Calibri"/>
        <family val="2"/>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theme="1"/>
        <name val="Calibri"/>
        <family val="2"/>
        <scheme val="minor"/>
      </font>
      <fill>
        <patternFill patternType="solid">
          <fgColor indexed="64"/>
          <bgColor theme="0" tint="-0.499984740745262"/>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dxf>
    <dxf>
      <font>
        <color auto="1"/>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theme="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theme="0"/>
        <name val="Calibri"/>
        <family val="2"/>
        <scheme val="minor"/>
      </font>
      <fill>
        <patternFill patternType="solid">
          <fgColor indexed="64"/>
          <bgColor theme="0" tint="-0.499984740745262"/>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theme="0"/>
        <name val="Calibri"/>
        <family val="2"/>
        <scheme val="minor"/>
      </font>
      <fill>
        <patternFill patternType="solid">
          <fgColor indexed="64"/>
          <bgColor theme="0" tint="-0.499984740745262"/>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theme="0"/>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theme="0"/>
        <name val="Calibri"/>
        <family val="2"/>
        <scheme val="minor"/>
      </font>
      <fill>
        <patternFill patternType="solid">
          <fgColor indexed="64"/>
          <bgColor theme="0" tint="-0.499984740745262"/>
        </patternFill>
      </fill>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alignment horizontal="general" vertical="bottom" textRotation="0" wrapText="0" indent="0" justifyLastLine="0" shrinkToFit="0" readingOrder="0"/>
    </dxf>
    <dxf>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theme="1"/>
        <name val="Calibri"/>
        <family val="2"/>
        <scheme val="minor"/>
      </font>
      <fill>
        <patternFill patternType="solid">
          <fgColor indexed="64"/>
          <bgColor theme="0" tint="-0.499984740745262"/>
        </patternFill>
      </fill>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theme="1"/>
        <name val="Calibri"/>
        <family val="2"/>
        <scheme val="minor"/>
      </font>
      <fill>
        <patternFill patternType="solid">
          <fgColor indexed="64"/>
          <bgColor theme="0" tint="-0.499984740745262"/>
        </patternFill>
      </fill>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indexed="64"/>
          <bgColor theme="0" tint="-0.499984740745262"/>
        </patternFill>
      </fill>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ill>
        <patternFill patternType="solid">
          <fgColor indexed="64"/>
          <bgColor theme="5"/>
        </patternFill>
      </fill>
    </dxf>
    <dxf>
      <numFmt numFmtId="2" formatCode="0.00"/>
      <alignment horizontal="center" vertical="bottom" textRotation="0" wrapText="0" indent="0" justifyLastLine="0" shrinkToFit="0" readingOrder="0"/>
    </dxf>
    <dxf>
      <fill>
        <patternFill patternType="solid">
          <fgColor indexed="64"/>
          <bgColor rgb="FFFFFF00"/>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solid">
          <fgColor indexed="64"/>
          <bgColor rgb="FFFFFF00"/>
        </patternFill>
      </fill>
    </dxf>
    <dxf>
      <font>
        <b val="0"/>
        <i val="0"/>
        <strike val="0"/>
        <condense val="0"/>
        <extend val="0"/>
        <outline val="0"/>
        <shadow val="0"/>
        <u val="none"/>
        <vertAlign val="baseline"/>
        <sz val="12"/>
        <color theme="1"/>
        <name val="Calibri"/>
        <family val="2"/>
        <scheme val="minor"/>
      </font>
      <numFmt numFmtId="164" formatCode="_(* #,##0_);_(* \(#,##0\);_(* &quot;-&quot;??_);_(@_)"/>
      <fill>
        <patternFill patternType="solid">
          <fgColor indexed="64"/>
          <bgColor rgb="FFFFFF00"/>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theme="1"/>
        <name val="Calibri"/>
        <family val="2"/>
        <scheme val="minor"/>
      </font>
      <fill>
        <patternFill patternType="solid">
          <fgColor indexed="64"/>
          <bgColor theme="0" tint="-0.499984740745262"/>
        </patternFill>
      </fill>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theme="1"/>
        <name val="Calibri"/>
        <family val="2"/>
        <scheme val="minor"/>
      </font>
      <fill>
        <patternFill patternType="solid">
          <fgColor indexed="64"/>
          <bgColor theme="0" tint="-0.499984740745262"/>
        </patternFill>
      </fill>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indexed="64"/>
          <bgColor theme="0" tint="-0.499984740745262"/>
        </patternFill>
      </fill>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ill>
        <patternFill patternType="none">
          <fgColor indexed="64"/>
          <bgColor theme="5"/>
        </patternFill>
      </fill>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right/>
        <top style="thin">
          <color theme="6" tint="0.39997558519241921"/>
        </top>
        <bottom style="thin">
          <color theme="6" tint="0.39997558519241921"/>
        </bottom>
      </border>
    </dxf>
    <dxf>
      <fill>
        <patternFill patternType="none">
          <fgColor indexed="64"/>
          <bgColor theme="5"/>
        </patternFill>
      </fill>
    </dxf>
    <dxf>
      <font>
        <b val="0"/>
        <i val="0"/>
        <strike val="0"/>
        <condense val="0"/>
        <extend val="0"/>
        <outline val="0"/>
        <shadow val="0"/>
        <u val="none"/>
        <vertAlign val="baseline"/>
        <sz val="12"/>
        <color theme="1"/>
        <name val="Calibri"/>
        <family val="2"/>
        <scheme val="minor"/>
      </font>
      <numFmt numFmtId="164" formatCode="_(* #,##0_);_(* \(#,##0\);_(* &quot;-&quot;??_);_(@_)"/>
    </dxf>
    <dxf>
      <font>
        <b val="0"/>
        <i val="0"/>
        <strike val="0"/>
        <condense val="0"/>
        <extend val="0"/>
        <outline val="0"/>
        <shadow val="0"/>
        <u val="none"/>
        <vertAlign val="baseline"/>
        <sz val="12"/>
        <color theme="1"/>
        <name val="Calibri"/>
        <family val="2"/>
        <scheme val="minor"/>
      </font>
      <numFmt numFmtId="164" formatCode="_(* #,##0_);_(* \(#,##0\);_(* &quot;-&quot;??_);_(@_)"/>
    </dxf>
    <dxf>
      <font>
        <b val="0"/>
        <i val="0"/>
        <strike val="0"/>
        <condense val="0"/>
        <extend val="0"/>
        <outline val="0"/>
        <shadow val="0"/>
        <u val="none"/>
        <vertAlign val="baseline"/>
        <sz val="12"/>
        <color theme="1"/>
        <name val="Calibri"/>
        <family val="2"/>
        <scheme val="minor"/>
      </font>
      <numFmt numFmtId="164" formatCode="_(* #,##0_);_(* \(#,##0\);_(* &quot;-&quot;??_);_(@_)"/>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indexed="64"/>
          <bgColor theme="0" tint="-0.499984740745262"/>
        </patternFill>
      </fill>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numFmt numFmtId="164" formatCode="_(* #,##0_);_(* \(#,##0\);_(* &quot;-&quot;??_);_(@_)"/>
    </dxf>
    <dxf>
      <numFmt numFmtId="164" formatCode="_(* #,##0_);_(* \(#,##0\);_(* &quot;-&quot;??_);_(@_)"/>
    </dxf>
    <dxf>
      <numFmt numFmtId="164" formatCode="_(* #,##0_);_(* \(#,##0\);_(* &quot;-&quot;??_);_(@_)"/>
    </dxf>
    <dxf>
      <font>
        <b/>
        <i val="0"/>
        <strike val="0"/>
        <condense val="0"/>
        <extend val="0"/>
        <outline val="0"/>
        <shadow val="0"/>
        <u val="none"/>
        <vertAlign val="baseline"/>
        <sz val="12"/>
        <color theme="0"/>
        <name val="Calibri"/>
        <family val="2"/>
        <scheme val="minor"/>
      </font>
      <fill>
        <patternFill patternType="solid">
          <fgColor indexed="64"/>
          <bgColor theme="0" tint="-0.499984740745262"/>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theme="0"/>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theme="0"/>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theme="0"/>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numFmt numFmtId="2"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0" formatCode="General"/>
    </dxf>
    <dxf>
      <font>
        <b/>
        <i val="0"/>
        <strike val="0"/>
        <condense val="0"/>
        <extend val="0"/>
        <outline val="0"/>
        <shadow val="0"/>
        <u val="none"/>
        <vertAlign val="baseline"/>
        <sz val="12"/>
        <color theme="0"/>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numFmt numFmtId="2"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theme="0"/>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numFmt numFmtId="2"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theme="0"/>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numFmt numFmtId="2"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theme="0"/>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numFmt numFmtId="2"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theme="0"/>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theme="0"/>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theme="0"/>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theme="0"/>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theme="0"/>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2"/>
        <color auto="1"/>
        <name val="Calibri"/>
        <family val="2"/>
        <scheme val="minor"/>
      </font>
      <numFmt numFmtId="170" formatCode="&quot;€&quot;\ #,##0.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0" formatCode="&quot;€&quot;\ #,##0.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0" formatCode="&quot;€&quot;\ #,##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theme="0"/>
        <name val="Calibri"/>
        <family val="2"/>
        <scheme val="minor"/>
      </font>
      <fill>
        <patternFill patternType="none">
          <fgColor indexed="64"/>
          <bgColor indexed="65"/>
        </patternFill>
      </fill>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i/>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i/>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i/>
      </font>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numFmt numFmtId="2" formatCode="0.00"/>
      <fill>
        <patternFill patternType="none">
          <fgColor indexed="64"/>
          <bgColor indexed="65"/>
        </patternFill>
      </fill>
      <alignment horizontal="center" vertical="bottom" textRotation="0" wrapText="0" indent="0" justifyLastLine="0" shrinkToFit="0" readingOrder="0"/>
    </dxf>
    <dxf>
      <font>
        <color auto="1"/>
      </font>
      <fill>
        <patternFill patternType="none">
          <fgColor indexed="64"/>
          <bgColor indexed="65"/>
        </patternFill>
      </fill>
    </dxf>
    <dxf>
      <font>
        <color auto="1"/>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theme="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theme="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theme="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i/>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i/>
      </font>
      <alignment horizontal="center" vertical="bottom" textRotation="0" wrapText="0"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i/>
      </font>
      <alignment horizontal="center" vertical="bottom" textRotation="0" wrapText="0" indent="0" justifyLastLine="0" shrinkToFit="0" readingOrder="0"/>
    </dxf>
    <dxf>
      <fill>
        <patternFill patternType="none">
          <fgColor indexed="64"/>
          <bgColor theme="5"/>
        </patternFill>
      </fill>
    </dxf>
    <dxf>
      <fill>
        <patternFill patternType="none">
          <fgColor indexed="64"/>
          <bgColor indexed="65"/>
        </patternFill>
      </fill>
      <alignment horizontal="center" vertical="bottom" textRotation="0" wrapText="0" indent="0" justifyLastLine="0" shrinkToFit="0" readingOrder="0"/>
    </dxf>
    <dxf>
      <numFmt numFmtId="2" formatCode="0.00"/>
      <fill>
        <patternFill patternType="none">
          <fgColor indexed="64"/>
          <bgColor theme="5"/>
        </patternFill>
      </fill>
      <alignment horizontal="center" vertical="bottom" textRotation="0" wrapText="0" indent="0" justifyLastLine="0" shrinkToFit="0" readingOrder="0"/>
    </dxf>
    <dxf>
      <fill>
        <patternFill patternType="none">
          <fgColor indexed="64"/>
          <bgColor theme="5"/>
        </patternFill>
      </fill>
    </dxf>
    <dxf>
      <font>
        <color auto="1"/>
      </font>
      <fill>
        <patternFill patternType="none">
          <fgColor indexed="64"/>
          <bgColor theme="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theme="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theme="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theme="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auto="1"/>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numFmt numFmtId="2" formatCode="0.00"/>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auto="1"/>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auto="1"/>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2"/>
        <color auto="1"/>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2"/>
        <color auto="1"/>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numFmt numFmtId="2" formatCode="0.00"/>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theme="0"/>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ill>
        <patternFill patternType="solid">
          <fgColor indexed="64"/>
          <bgColor theme="5"/>
        </patternFill>
      </fill>
    </dxf>
    <dxf>
      <numFmt numFmtId="2" formatCode="0.00"/>
      <fill>
        <patternFill patternType="none">
          <fgColor indexed="64"/>
          <bgColor theme="5"/>
        </patternFill>
      </fill>
      <alignment horizontal="center" vertical="bottom" textRotation="0" wrapText="0" indent="0" justifyLastLine="0" shrinkToFit="0" readingOrder="0"/>
    </dxf>
    <dxf>
      <fill>
        <patternFill patternType="none">
          <fgColor indexed="64"/>
          <bgColor theme="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theme="0"/>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numFmt numFmtId="2" formatCode="0.00"/>
      <fill>
        <patternFill patternType="none">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numFmt numFmtId="2" formatCode="0.00"/>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_(* #,##0_);_(* \(#,##0\);_(* &quot;-&quot;??_);_(@_)"/>
      <fill>
        <patternFill patternType="none">
          <fgColor indexed="64"/>
          <bgColor indexed="65"/>
        </patternFill>
      </fill>
    </dxf>
    <dxf>
      <numFmt numFmtId="164" formatCode="_(* #,##0_);_(* \(#,##0\);_(* &quot;-&quot;??_);_(@_)"/>
      <fill>
        <patternFill patternType="none">
          <fgColor indexed="64"/>
          <bgColor auto="1"/>
        </patternFill>
      </fill>
    </dxf>
    <dxf>
      <font>
        <b val="0"/>
        <i val="0"/>
        <strike val="0"/>
        <condense val="0"/>
        <extend val="0"/>
        <outline val="0"/>
        <shadow val="0"/>
        <u val="none"/>
        <vertAlign val="baseline"/>
        <sz val="12"/>
        <color theme="1"/>
        <name val="Calibri"/>
        <family val="2"/>
        <scheme val="minor"/>
      </font>
      <numFmt numFmtId="164" formatCode="_(* #,##0_);_(* \(#,##0\);_(* &quot;-&quot;??_);_(@_)"/>
      <fill>
        <patternFill patternType="none">
          <fgColor indexed="64"/>
          <bgColor indexed="65"/>
        </patternFill>
      </fill>
    </dxf>
    <dxf>
      <numFmt numFmtId="164" formatCode="_(* #,##0_);_(* \(#,##0\);_(* &quot;-&quot;??_);_(@_)"/>
      <fill>
        <patternFill patternType="none">
          <fgColor indexed="64"/>
          <bgColor auto="1"/>
        </patternFill>
      </fill>
    </dxf>
    <dxf>
      <font>
        <b val="0"/>
        <i val="0"/>
        <strike val="0"/>
        <condense val="0"/>
        <extend val="0"/>
        <outline val="0"/>
        <shadow val="0"/>
        <u val="none"/>
        <vertAlign val="baseline"/>
        <sz val="12"/>
        <color theme="1"/>
        <name val="Calibri"/>
        <family val="2"/>
        <scheme val="minor"/>
      </font>
      <numFmt numFmtId="164" formatCode="_(* #,##0_);_(* \(#,##0\);_(* &quot;-&quot;??_);_(@_)"/>
      <fill>
        <patternFill patternType="none">
          <fgColor indexed="64"/>
          <bgColor indexed="65"/>
        </patternFill>
      </fill>
    </dxf>
    <dxf>
      <numFmt numFmtId="164" formatCode="_(* #,##0_);_(* \(#,##0\);_(* &quot;-&quot;??_);_(@_)"/>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4" formatCode="_(* #,##0_);_(* \(#,##0\);_(* &quot;-&quot;??_);_(@_)"/>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theme="0"/>
        <name val="Calibri"/>
        <family val="2"/>
        <scheme val="minor"/>
      </font>
      <fill>
        <patternFill patternType="none">
          <fgColor indexed="64"/>
          <bgColor indexed="65"/>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ill>
        <patternFill patternType="solid">
          <fgColor indexed="64"/>
          <bgColor theme="5"/>
        </patternFill>
      </fill>
    </dxf>
    <dxf>
      <fill>
        <patternFill patternType="solid">
          <fgColor indexed="64"/>
          <bgColor theme="5"/>
        </patternFill>
      </fill>
      <alignment horizontal="center" vertical="bottom" textRotation="0" wrapText="0" indent="0" justifyLastLine="0" shrinkToFit="0" readingOrder="0"/>
    </dxf>
    <dxf>
      <fill>
        <patternFill patternType="solid">
          <fgColor indexed="64"/>
          <bgColor theme="5"/>
        </patternFill>
      </fill>
    </dxf>
    <dxf>
      <font>
        <strike val="0"/>
        <outline val="0"/>
        <shadow val="0"/>
        <u val="none"/>
        <vertAlign val="baseline"/>
        <sz val="12"/>
        <color auto="1"/>
        <name val="Calibri"/>
        <family val="2"/>
        <scheme val="minor"/>
      </font>
      <numFmt numFmtId="0" formatCode="General"/>
    </dxf>
    <dxf>
      <font>
        <b/>
        <i val="0"/>
        <strike val="0"/>
        <condense val="0"/>
        <extend val="0"/>
        <outline val="0"/>
        <shadow val="0"/>
        <u val="none"/>
        <vertAlign val="baseline"/>
        <sz val="12"/>
        <color theme="0"/>
        <name val="Calibri"/>
        <family val="2"/>
        <scheme val="minor"/>
      </font>
      <fill>
        <patternFill patternType="none">
          <fgColor indexed="64"/>
          <bgColor auto="1"/>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numFmt numFmtId="0" formatCode="General"/>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theme="0"/>
        <name val="Calibri"/>
        <family val="2"/>
        <scheme val="minor"/>
      </font>
      <fill>
        <patternFill patternType="solid">
          <fgColor theme="9"/>
          <bgColor theme="9"/>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border outline="0">
        <top style="thin">
          <color theme="9" tint="0.39997558519241921"/>
        </top>
      </border>
    </dxf>
    <dxf>
      <border outline="0">
        <bottom style="thin">
          <color theme="9" tint="0.39997558519241921"/>
        </bottom>
      </border>
    </dxf>
    <dxf>
      <font>
        <b/>
        <i val="0"/>
        <strike val="0"/>
        <condense val="0"/>
        <extend val="0"/>
        <outline val="0"/>
        <shadow val="0"/>
        <u val="none"/>
        <vertAlign val="baseline"/>
        <sz val="12"/>
        <color theme="0"/>
        <name val="Calibri"/>
        <family val="2"/>
        <scheme val="minor"/>
      </font>
      <fill>
        <patternFill patternType="solid">
          <fgColor theme="9"/>
          <bgColor theme="9"/>
        </patternFill>
      </fill>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ont>
        <i/>
      </font>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_(* #,##0_);_(* \(#,##0\);_(* &quot;-&quot;??_);_(@_)"/>
    </dxf>
    <dxf>
      <font>
        <b val="0"/>
        <i val="0"/>
        <strike val="0"/>
        <condense val="0"/>
        <extend val="0"/>
        <outline val="0"/>
        <shadow val="0"/>
        <u val="none"/>
        <vertAlign val="baseline"/>
        <sz val="12"/>
        <color theme="1"/>
        <name val="Calibri"/>
        <family val="2"/>
        <scheme val="minor"/>
      </font>
      <numFmt numFmtId="164" formatCode="_(* #,##0_);_(* \(#,##0\);_(* &quot;-&quot;??_);_(@_)"/>
    </dxf>
    <dxf>
      <font>
        <b val="0"/>
        <i val="0"/>
        <strike val="0"/>
        <condense val="0"/>
        <extend val="0"/>
        <outline val="0"/>
        <shadow val="0"/>
        <u val="none"/>
        <vertAlign val="baseline"/>
        <sz val="12"/>
        <color theme="1"/>
        <name val="Calibri"/>
        <family val="2"/>
        <scheme val="minor"/>
      </font>
      <numFmt numFmtId="164" formatCode="_(* #,##0_);_(* \(#,##0\);_(* &quot;-&quot;??_);_(@_)"/>
    </dxf>
    <dxf>
      <font>
        <b val="0"/>
        <i val="0"/>
        <strike val="0"/>
        <condense val="0"/>
        <extend val="0"/>
        <outline val="0"/>
        <shadow val="0"/>
        <u val="none"/>
        <vertAlign val="baseline"/>
        <sz val="12"/>
        <color theme="1"/>
        <name val="Calibri"/>
        <family val="2"/>
        <scheme val="minor"/>
      </font>
      <numFmt numFmtId="164" formatCode="_(* #,##0_);_(* \(#,##0\);_(* &quot;-&quot;??_);_(@_)"/>
    </dxf>
    <dxf>
      <font>
        <b val="0"/>
        <i val="0"/>
        <strike val="0"/>
        <condense val="0"/>
        <extend val="0"/>
        <outline val="0"/>
        <shadow val="0"/>
        <u val="none"/>
        <vertAlign val="baseline"/>
        <sz val="12"/>
        <color theme="1"/>
        <name val="Calibri"/>
        <family val="2"/>
        <scheme val="minor"/>
      </font>
      <numFmt numFmtId="164" formatCode="_(* #,##0_);_(* \(#,##0\);_(* &quot;-&quot;??_);_(@_)"/>
    </dxf>
    <dxf>
      <font>
        <b val="0"/>
        <i val="0"/>
        <strike val="0"/>
        <condense val="0"/>
        <extend val="0"/>
        <outline val="0"/>
        <shadow val="0"/>
        <u val="none"/>
        <vertAlign val="baseline"/>
        <sz val="12"/>
        <color theme="1"/>
        <name val="Calibri"/>
        <family val="2"/>
        <scheme val="minor"/>
      </font>
      <numFmt numFmtId="164" formatCode="_(* #,##0_);_(* \(#,##0\);_(* &quot;-&quot;??_);_(@_)"/>
    </dxf>
    <dxf>
      <numFmt numFmtId="164" formatCode="_(* #,##0_);_(* \(#,##0\);_(* &quot;-&quot;??_);_(@_)"/>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49BABA-22AB-634A-B60A-CC8E0E7D56E8}" name="LandUse01" displayName="LandUse01" ref="B53:V59">
  <tableColumns count="21">
    <tableColumn id="1" xr3:uid="{E4C36343-0D98-9443-9EB6-0B8807260DE9}" name="Grondgebruik " totalsRowLabel="Totaal"/>
    <tableColumn id="2" xr3:uid="{C81D54F7-A6BC-CE42-B095-EFDE3E8CDE96}" name="Eenheid" dataDxfId="765" totalsRowDxfId="764"/>
    <tableColumn id="10" xr3:uid="{29236328-B88B-9C42-B285-81269502382A}" name="Geen" dataDxfId="763" dataCellStyle="Komma"/>
    <tableColumn id="26" xr3:uid="{D9DA6C9F-529F-F642-8EF6-B82AE57D45DA}" name="Waarde MAX" dataDxfId="762" totalsRowDxfId="761" dataCellStyle="Komma"/>
    <tableColumn id="3" xr3:uid="{D92850E0-ACF8-0042-BBCD-24C65B27714F}" name="Waarde GEM" dataDxfId="760" totalsRowDxfId="759" dataCellStyle="Komma"/>
    <tableColumn id="27" xr3:uid="{1AE713A7-77A1-874B-9A34-A07106129330}" name="Waarde MIN" dataDxfId="758" totalsRowDxfId="757" dataCellStyle="Komma"/>
    <tableColumn id="4" xr3:uid="{1CD817A6-5092-554D-AE9F-407E91F463C0}" name="Opmerkingen"/>
    <tableColumn id="5" xr3:uid="{33A64EAF-2A5A-9643-8F89-3825A3651FF9}" name="Status beschrijving"/>
    <tableColumn id="6" xr3:uid="{5A3B8C17-ADA8-9B45-84BE-C6D289B8F02D}" name="Status" dataDxfId="756"/>
    <tableColumn id="12" xr3:uid="{0C89AFE2-7178-3541-A230-227E16F1E2BF}" name="Bron 1 - naam/jaar"/>
    <tableColumn id="13" xr3:uid="{8DC9F183-ED22-0143-BE0D-4D3AD922DF21}" name="Bron 1 - waarde" dataDxfId="755"/>
    <tableColumn id="14" xr3:uid="{05D24F77-CCBE-7F4E-9F9F-EFA2BED374DA}" name="Bron 1 - type/link"/>
    <tableColumn id="18" xr3:uid="{E3E03B9D-884C-C942-9EDD-A773DC231421}" name="Bron 2 - naam/jaar"/>
    <tableColumn id="19" xr3:uid="{D11C1795-4699-3242-BB28-993E38F34757}" name="Bron 2 - waarde" dataDxfId="754"/>
    <tableColumn id="20" xr3:uid="{938DDC4C-993D-2649-8B31-847BBB57A030}" name="Bron 2 - type/link"/>
    <tableColumn id="21" xr3:uid="{2E34AD1B-B9BD-D846-AA32-B1B90A970D41}" name="Bron 3 - naam/jaar"/>
    <tableColumn id="22" xr3:uid="{7C443621-67E4-054E-938F-DCF676D34223}" name="Bron 3 - waarde" dataDxfId="753"/>
    <tableColumn id="23" xr3:uid="{297DDB6F-F565-6B44-A698-8B68621C9BE2}" name="Bron 3 - type/link"/>
    <tableColumn id="11" xr3:uid="{0AA5B66E-346D-1C4A-B282-A52C208CE8D1}" name="Actie"/>
    <tableColumn id="15" xr3:uid="{7684CFEF-DCF7-3441-9BD7-8CF47B49AEA7}" name="Eigenaar"/>
    <tableColumn id="16" xr3:uid="{20DDA2F5-82DD-4746-AD83-BF3162F681FC}" name="Deadline"/>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F04787-FEAD-BF4E-B5C8-92883E1F0BD4}" name="CultInvest01" displayName="CultInvest01" ref="B77:V94" headerRowDxfId="752" headerRowBorderDxfId="751" tableBorderDxfId="750">
  <tableColumns count="21">
    <tableColumn id="1" xr3:uid="{FAA72234-A6F3-2447-8D17-C9734CF5283B}" name="Teelt - Investeringen perceel" totalsRowLabel="Totaal"/>
    <tableColumn id="2" xr3:uid="{1920CDAB-8BE7-B647-88A7-D5CA4EC9C96F}" name="Eenheid"/>
    <tableColumn id="3" xr3:uid="{904A9E88-A821-0B43-B133-7354DF0B3300}" name="Geen" totalsRowFunction="sum" dataDxfId="749" dataCellStyle="Komma"/>
    <tableColumn id="4" xr3:uid="{D55831CD-8E3F-8643-A561-11BA241815F4}" name="Waarde MAX" totalsRowFunction="sum" dataDxfId="748" totalsRowDxfId="747" dataCellStyle="Komma"/>
    <tableColumn id="5" xr3:uid="{A51B8E56-6B4D-9E47-9D0E-92639E400C7C}" name="Waarde GEM" totalsRowFunction="sum" dataDxfId="746" totalsRowDxfId="745" dataCellStyle="Komma"/>
    <tableColumn id="6" xr3:uid="{7E6D023E-268D-0C46-BC70-35BF746D401F}" name="Waarde MIN" totalsRowFunction="sum" dataDxfId="744" totalsRowDxfId="743" dataCellStyle="Komma"/>
    <tableColumn id="7" xr3:uid="{453BF078-8491-094E-92B4-61363C47E63E}" name="Opmerkingen"/>
    <tableColumn id="8" xr3:uid="{1F666AE7-577A-A344-94E4-8DE82300D6E9}" name="Status beschrijving"/>
    <tableColumn id="9" xr3:uid="{7559C667-21A3-2B48-8106-0846871DE3BE}" name="Status" dataDxfId="742"/>
    <tableColumn id="13" xr3:uid="{87437DDB-0DF5-994D-A716-F8A0D76534DD}" name="Bron 1 - naam/jaar"/>
    <tableColumn id="14" xr3:uid="{D4F20C06-33AA-AD42-BAF4-45C61FE4269E}" name="Bron 1 - waarde" dataDxfId="741"/>
    <tableColumn id="15" xr3:uid="{2CE00DCC-52AB-284C-BEB3-DAC701B1335F}" name="Bron 1 - type/link"/>
    <tableColumn id="16" xr3:uid="{CB6F16E8-3AC3-E641-9E11-13FF2A8DC7CE}" name="Bron 2 - naam/jaar"/>
    <tableColumn id="17" xr3:uid="{9B7683C0-7A27-8C4C-B7FE-118899263609}" name="Bron 2 - waarde" dataDxfId="740"/>
    <tableColumn id="18" xr3:uid="{8ACC228C-9500-6E4C-A290-8C5AD5BED165}" name="Bron 2 - type/link"/>
    <tableColumn id="19" xr3:uid="{CD987485-72D8-E44A-B326-76A7BFE1EF3B}" name="Bron 3 - naam/jaar"/>
    <tableColumn id="20" xr3:uid="{8189830D-7F9D-A144-A4A6-3766E8533DC4}" name="Bron 3 - waarde" dataDxfId="739"/>
    <tableColumn id="21" xr3:uid="{5D8DCCB7-0065-924D-9E6E-F5A18D383AA2}" name="Bron 3 - type/link" totalsRowFunction="count"/>
    <tableColumn id="10" xr3:uid="{6A2B893B-DD6B-2B42-949D-2EE7ADEE86F2}" name="Actie"/>
    <tableColumn id="11" xr3:uid="{1D8A1181-823D-4A43-B622-D724E6200427}" name="Eigenaar"/>
    <tableColumn id="12" xr3:uid="{968874BF-1454-854B-BCC9-4AC8A907CC07}" name="Deadline"/>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6FB4BE-D6AE-7248-BA54-65D1003D50E5}" name="CultInvest02" displayName="CultInvest02" ref="B96:V106" totalsRowShown="0" headerRowDxfId="738">
  <tableColumns count="21">
    <tableColumn id="1" xr3:uid="{F6A7B39B-28A2-E247-8832-6B1649A72815}" name="Planten / Zaaien" dataDxfId="737" totalsRowDxfId="736"/>
    <tableColumn id="2" xr3:uid="{050AF480-AC25-204C-93E5-C5A4BF8B1F62}" name="Eenheid"/>
    <tableColumn id="3" xr3:uid="{653CF2E0-1B69-2844-8969-54938F1EEE5A}" name="Geen" dataDxfId="735" dataCellStyle="Komma"/>
    <tableColumn id="4" xr3:uid="{FB1AA1E5-FDEB-6B4C-87A2-71E835B83AFE}" name="Waarde MAX" dataDxfId="734" totalsRowDxfId="733" dataCellStyle="Komma"/>
    <tableColumn id="5" xr3:uid="{A01B7D8B-FB3E-1945-B7A9-2BC405FAF101}" name="Waarde GEM" dataDxfId="732" totalsRowDxfId="731" dataCellStyle="Komma"/>
    <tableColumn id="6" xr3:uid="{7092E818-C023-104D-9672-5D2A87F56B05}" name="Waarde MIN" dataDxfId="730" totalsRowDxfId="729" dataCellStyle="Komma"/>
    <tableColumn id="7" xr3:uid="{4A52B3D4-9E89-DB49-91CF-EEADC3F1DC82}" name="Opmerkingen"/>
    <tableColumn id="8" xr3:uid="{D33CA84A-F8D5-E344-B700-A28F235419AF}" name="Status beschrijving"/>
    <tableColumn id="9" xr3:uid="{CE59E8D6-4FD5-984A-A43B-DAE0C822997F}" name="Status" dataDxfId="728"/>
    <tableColumn id="13" xr3:uid="{2955B997-39BB-4449-9216-AED2EB76AB72}" name="Bron 1 - naam/jaar"/>
    <tableColumn id="14" xr3:uid="{E5CA8273-3E59-E44D-8128-8A3B16E29AEB}" name="Bron 1 - waarde" dataDxfId="727">
      <calculatedColumnFormula>29.71+26.23</calculatedColumnFormula>
    </tableColumn>
    <tableColumn id="15" xr3:uid="{4041D786-DB94-994C-B149-5B38C6AB65FF}" name="Bron 1 - type/link"/>
    <tableColumn id="16" xr3:uid="{08B83818-676D-BD40-881F-658DAF10FEDD}" name="Bron 2 - naam/jaar"/>
    <tableColumn id="17" xr3:uid="{FB4D6C0A-4D57-C24F-8F27-10690D378A61}" name="Bron 2 - waarde" dataDxfId="726"/>
    <tableColumn id="18" xr3:uid="{2615FA71-6DFD-9847-81C0-3C6DDBEEB5DF}" name="Bron 2 - type/link"/>
    <tableColumn id="19" xr3:uid="{5BB78B24-72F8-2041-8B46-1642EC1A47DF}" name="Bron 3 - naam/jaar"/>
    <tableColumn id="20" xr3:uid="{F7B6D02A-B745-EA47-BB62-8A30D0EE33FB}" name="Bron 3 - waarde" dataDxfId="725"/>
    <tableColumn id="21" xr3:uid="{5617D495-F1F0-EF43-8B5A-8496695C3481}" name="Bron 3 - type/link"/>
    <tableColumn id="10" xr3:uid="{0F7AF38C-93A9-BC46-B6C2-BD5D24EB158E}" name="Actie"/>
    <tableColumn id="11" xr3:uid="{D3752BEC-F870-8C49-9857-C74A180A5E01}" name="Eigenaar"/>
    <tableColumn id="12" xr3:uid="{ED2D728A-3CB8-774A-B88D-9A0283B4C489}" name="Deadline"/>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36A8A2-C1B7-D64F-B0C5-8C18F6A213EE}" name="CultCost04" displayName="CultCost04" ref="B138:V145" totalsRowShown="0" headerRowDxfId="724">
  <tableColumns count="21">
    <tableColumn id="1" xr3:uid="{E291A505-247E-134E-B242-3769ECD50B71}" name="Onderhoud" dataDxfId="723">
      <calculatedColumnFormula>B80</calculatedColumnFormula>
    </tableColumn>
    <tableColumn id="2" xr3:uid="{BD323988-377F-C844-96F5-315564879AD4}" name="Eenheid"/>
    <tableColumn id="3" xr3:uid="{C0EBA901-79DC-CC45-8F14-31736E8668B0}" name="Geen" dataCellStyle="Procent"/>
    <tableColumn id="4" xr3:uid="{C4A75339-FF65-EE48-BFF8-BBED5BA40EF1}" name="Waarde MAX" dataCellStyle="Procent"/>
    <tableColumn id="5" xr3:uid="{CF248281-CDDE-E44C-8939-8ACD3FE139A2}" name="Waarde GEM" dataCellStyle="Procent"/>
    <tableColumn id="6" xr3:uid="{379E580F-F977-FB4A-918B-E82936D0F2D1}" name="Waarde MIN" dataCellStyle="Procent"/>
    <tableColumn id="7" xr3:uid="{C5E60BC4-ABB0-824B-9F47-C1C6F85D6164}" name="Opmerkingen"/>
    <tableColumn id="8" xr3:uid="{7D79A08D-C018-5042-B55C-302A6CC50C23}" name="Status beschrijving" dataDxfId="722"/>
    <tableColumn id="9" xr3:uid="{9BA6B801-CF8C-D047-88BA-1FDFA04A6D79}" name="Status" dataDxfId="721"/>
    <tableColumn id="13" xr3:uid="{4B8F298D-42A6-DF47-A3DE-2F812BAA58C6}" name="Bron 1 - naam/jaar" dataDxfId="720"/>
    <tableColumn id="14" xr3:uid="{C5E27F1C-2AB5-0641-A276-20C124C1AC35}" name="Bron 1 - waarde" dataDxfId="719"/>
    <tableColumn id="15" xr3:uid="{F307AE00-E8A8-6744-B1AC-DE665400A32D}" name="Bron 1 - type/link"/>
    <tableColumn id="16" xr3:uid="{ECAA0B94-C963-F54F-8E9D-16EDE48A814E}" name="Bron 2 - naam/jaar"/>
    <tableColumn id="17" xr3:uid="{B255E310-E4FD-1A45-8BC0-A66446032001}" name="Bron 2 - waarde" dataDxfId="718"/>
    <tableColumn id="18" xr3:uid="{6A4A6501-DF9D-1644-81D8-73440B30014F}" name="Bron 2 - type/link"/>
    <tableColumn id="19" xr3:uid="{B1B5BF2B-2130-7549-8B9F-66C0895BA3FE}" name="Bron 3 - naam/jaar"/>
    <tableColumn id="20" xr3:uid="{9F0B9D92-F0C5-BB4E-94C3-802E00C3A47B}" name="Bron 3 - waarde" dataDxfId="717"/>
    <tableColumn id="21" xr3:uid="{8B350AC5-DF2B-7C4B-B447-F788527356C5}" name="Bron 3 - type/link"/>
    <tableColumn id="10" xr3:uid="{29A6CD68-C947-FD41-9ADC-9E1AFCCDFAC6}" name="Actie"/>
    <tableColumn id="11" xr3:uid="{C0E5FDBA-2E28-634C-809B-551E61B68C61}" name="Eigenaar"/>
    <tableColumn id="12" xr3:uid="{7DE17217-329B-1E4D-B3EF-D6ADFB8767F7}" name="Deadline"/>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3DB4517-2697-BD4D-9C53-766F49516E2F}" name="CultCost01" displayName="CultCost01" ref="B111:V127" headerRowDxfId="716">
  <tableColumns count="21">
    <tableColumn id="1" xr3:uid="{98AF5385-3F6F-2E45-81D0-283AC7DFD5FA}" name="Gewasverzorging" totalsRowLabel="Totaal"/>
    <tableColumn id="2" xr3:uid="{8D324A90-5D23-BA44-A992-0C1E17094DC0}" name="Eenheid" dataDxfId="715" totalsRowDxfId="714"/>
    <tableColumn id="3" xr3:uid="{F4AD0914-39F6-0943-BFAA-1B1DD8F0C64F}" name="Geen" totalsRowFunction="sum" dataDxfId="713" dataCellStyle="Komma"/>
    <tableColumn id="4" xr3:uid="{51C65BAD-6B1A-A24E-9B29-84D5E8266F3C}" name="Waarde MAX" totalsRowFunction="sum" dataDxfId="712" totalsRowDxfId="711" dataCellStyle="Komma"/>
    <tableColumn id="5" xr3:uid="{2EFB3614-4DE7-D944-96A4-F92AF784EFC8}" name="Waarde GEM" totalsRowFunction="sum" dataDxfId="710" totalsRowDxfId="709" dataCellStyle="Komma"/>
    <tableColumn id="6" xr3:uid="{839B4311-1FDC-1845-B2DD-638B1BEEC4F9}" name="Waarde MIN" totalsRowFunction="sum" dataDxfId="708" totalsRowDxfId="707" dataCellStyle="Komma"/>
    <tableColumn id="7" xr3:uid="{C2671CD4-7738-594A-8EE2-4FBEA5B7C672}" name="Opmerkingen"/>
    <tableColumn id="8" xr3:uid="{857D75C9-DC6E-8443-B16F-9862F9BAC8F6}" name="Status beschrijving"/>
    <tableColumn id="9" xr3:uid="{B8ADC0A2-B940-B84D-94F9-B3864DA05A45}" name="Status" dataDxfId="706"/>
    <tableColumn id="13" xr3:uid="{652E1ADB-CE21-3147-805C-B894730A9D70}" name="Bron 1 - naam/jaar"/>
    <tableColumn id="14" xr3:uid="{0A55093C-FFF4-004D-B247-A0B237A4D779}" name="Bron 1 - waarde" dataDxfId="705"/>
    <tableColumn id="15" xr3:uid="{B4E32913-AC5A-5141-97E6-4D40651014CB}" name="Bron 1 - type/link"/>
    <tableColumn id="16" xr3:uid="{FF63203D-BD55-234A-9BB7-5D50E45470CC}" name="Bron 2 - naam/jaar"/>
    <tableColumn id="17" xr3:uid="{AF35C4C6-5FED-F344-A4AE-BF2E07B04A60}" name="Bron 2 - waarde" dataDxfId="704"/>
    <tableColumn id="18" xr3:uid="{12E65E4E-2EDE-4441-96B6-87B9779A836C}" name="Bron 2 - type/link"/>
    <tableColumn id="19" xr3:uid="{264013E5-3E34-874A-AF84-0785D2D0CECC}" name="Bron 3 - naam/jaar"/>
    <tableColumn id="20" xr3:uid="{77E6CE0C-2E76-2945-9164-1893DB92E64A}" name="Bron 3 - waarde" dataDxfId="703"/>
    <tableColumn id="21" xr3:uid="{F12315A5-AD1C-0841-A8C5-10B2BA02FA11}" name="Bron 3 - type/link" totalsRowFunction="count"/>
    <tableColumn id="10" xr3:uid="{8A79C95E-3BC5-9148-9053-FF55BD15C1B6}" name="Actie"/>
    <tableColumn id="11" xr3:uid="{FB7C97A7-FAF0-E548-9927-052A550470AA}" name="Eigenaar"/>
    <tableColumn id="12" xr3:uid="{3372CEF8-96D7-ED46-A361-5C0B2B8F69C5}" name="Deadline"/>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03FD299-F08D-014A-8071-F21BB1A320FD}" name="CultCost05" displayName="CultCost05" ref="B147:V152" totalsRowShown="0" headerRowDxfId="702">
  <tableColumns count="21">
    <tableColumn id="1" xr3:uid="{CD66F326-371E-B944-8DEF-979220939141}" name="Afschrijving &amp; aflossing teeltinvesteringen"/>
    <tableColumn id="2" xr3:uid="{8F2B0527-2D53-3F44-812A-80544D2F7258}" name="Eenheid"/>
    <tableColumn id="3" xr3:uid="{921CC211-2903-4445-8396-D8845C0681B9}" name="Geen"/>
    <tableColumn id="4" xr3:uid="{5B5A81A5-67E8-9340-929A-FA7444E82173}" name="Waarde MAX"/>
    <tableColumn id="5" xr3:uid="{3B0C865E-C306-1242-82C3-4371108C203C}" name="Waarde GEM"/>
    <tableColumn id="6" xr3:uid="{0ED4FEEE-BDEB-2045-8744-A55535C37BE2}" name="Waarde MIN"/>
    <tableColumn id="7" xr3:uid="{67928AEF-13A1-E84F-9D79-6A3401F9025F}" name="Opmerkingen"/>
    <tableColumn id="8" xr3:uid="{70B7F582-9B90-1D49-BAF2-546597F4B401}" name="Status beschrijving"/>
    <tableColumn id="9" xr3:uid="{A81CB380-7B36-3049-9827-419C8DB848BC}" name="Status" dataDxfId="701"/>
    <tableColumn id="13" xr3:uid="{77C9C234-5325-0F4E-A77B-56D5ADCB660A}" name="Bron 1 - naam/jaar"/>
    <tableColumn id="14" xr3:uid="{A4971880-7BFA-984A-AD90-C9F4030723BE}" name="Bron 1 - waarde" dataDxfId="700"/>
    <tableColumn id="15" xr3:uid="{1734C200-E1D5-8E43-B52C-9516B1AA3E1E}" name="Bron 1 - type/link"/>
    <tableColumn id="16" xr3:uid="{CE62D3C5-A02D-EC48-92D0-959E44D8BAF4}" name="Bron 2 - naam/jaar"/>
    <tableColumn id="17" xr3:uid="{4CA84E27-686B-414C-AFEC-EDD7D74C96CD}" name="Bron 2 - waarde" dataDxfId="699"/>
    <tableColumn id="18" xr3:uid="{22D183CB-C9A2-5E4B-A7DE-57BAC28D980B}" name="Bron 2 - type/link"/>
    <tableColumn id="19" xr3:uid="{6A96884F-33F5-764C-8A1C-0F930A69551B}" name="Bron 3 - naam/jaar"/>
    <tableColumn id="20" xr3:uid="{74DDDE1B-F8C0-0D43-8599-880C0E0E59DF}" name="Bron 3 - waarde" dataDxfId="698"/>
    <tableColumn id="21" xr3:uid="{F827B629-B9AA-8E40-A426-9CCA0D3A2F49}" name="Bron 3 - type/link"/>
    <tableColumn id="10" xr3:uid="{70035E8E-FABC-B74A-B7D6-607E880B9AF7}" name="Actie"/>
    <tableColumn id="11" xr3:uid="{98885E9A-86CA-A54E-9258-88F764C0B322}" name="Eigenaar"/>
    <tableColumn id="12" xr3:uid="{B748BF76-602F-3147-BE56-630000266AB3}" name="Deadline"/>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2D42333-E60B-9847-A857-E09E863E6064}" name="CultCost02" displayName="CultCost02" ref="B129:V132" headerRowDxfId="697">
  <tableColumns count="21">
    <tableColumn id="1" xr3:uid="{CD7C5A31-92C7-9045-84D6-909850D6C540}" name="Energieverbruik en water" totalsRowLabel="Totaal" dataDxfId="696" totalsRowDxfId="695"/>
    <tableColumn id="2" xr3:uid="{77DED0C7-A39F-684A-BC47-9175CC6B43E2}" name="Eenheid" dataDxfId="694" totalsRowDxfId="693"/>
    <tableColumn id="3" xr3:uid="{D26FB7B7-2D30-D841-ABBE-C58DADF2B9A7}" name="Geen" totalsRowFunction="sum" dataDxfId="692" dataCellStyle="Komma"/>
    <tableColumn id="4" xr3:uid="{9A0FB695-3460-2A40-A940-E512E5F4DE38}" name="Waarde MAX" totalsRowFunction="sum" dataDxfId="691" totalsRowDxfId="690"/>
    <tableColumn id="5" xr3:uid="{E1C45C50-BB3D-EE4E-AD13-B5C95004968F}" name="Waarde GEM" totalsRowFunction="sum" dataDxfId="689" totalsRowDxfId="688"/>
    <tableColumn id="6" xr3:uid="{D2FFBAFE-78C3-C041-925E-65C664574665}" name="Waarde MIN" totalsRowFunction="sum" dataDxfId="687" totalsRowDxfId="686"/>
    <tableColumn id="7" xr3:uid="{AFD6524D-927D-CE40-9F6A-37BDD8004E0F}" name="Opmerkingen"/>
    <tableColumn id="8" xr3:uid="{5E0E336E-A4FA-624C-8249-5D8D43A1F73F}" name="Status beschrijving" dataDxfId="685"/>
    <tableColumn id="9" xr3:uid="{35DB1180-24C7-EA43-9665-F8AB7304EB50}" name="Status" dataDxfId="684"/>
    <tableColumn id="13" xr3:uid="{08F5F4C7-A894-E849-9CCF-0D5F2A8A1668}" name="Bron 1 - naam/jaar" dataDxfId="683"/>
    <tableColumn id="14" xr3:uid="{A5B201E8-B2D9-8D40-AC21-AB4646A2725A}" name="Bron 1 - waarde" dataDxfId="682"/>
    <tableColumn id="15" xr3:uid="{798D0A7A-F54B-5443-A9C6-DA795844C4A7}" name="Bron 1 - type/link"/>
    <tableColumn id="16" xr3:uid="{AB86A733-DCE5-FD49-A534-ECEF01E76307}" name="Bron 2 - naam/jaar"/>
    <tableColumn id="17" xr3:uid="{987E5DFB-146F-1C48-AD39-55B0A6BD5302}" name="Bron 2 - waarde" dataDxfId="681"/>
    <tableColumn id="18" xr3:uid="{A68A2E2C-46D0-124C-A82C-13DA639A70DC}" name="Bron 2 - type/link"/>
    <tableColumn id="19" xr3:uid="{E796D944-6FAC-6C48-8D4E-FCCE9CA24E80}" name="Bron 3 - naam/jaar"/>
    <tableColumn id="20" xr3:uid="{FBEDD8C7-4927-2745-83DA-8EAC476CA931}" name="Bron 3 - waarde" dataDxfId="680"/>
    <tableColumn id="21" xr3:uid="{BC3CD945-4EAA-C949-B417-9BE235DEC979}" name="Bron 3 - type/link" totalsRowFunction="count"/>
    <tableColumn id="10" xr3:uid="{0759B66B-B132-5747-8704-1D3DC992555A}" name="Actie"/>
    <tableColumn id="11" xr3:uid="{D319509A-FBEA-6F45-9693-DAC5D0DFD155}" name="Eigenaar"/>
    <tableColumn id="12" xr3:uid="{9A9E496A-D1E1-7E43-B323-226F65936F8F}" name="Deadline"/>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7A20049-BED2-7949-81AC-108BCC48DAFE}" name="CultCost03" displayName="CultCost03" ref="B134:V136" headerRowDxfId="679">
  <tableColumns count="21">
    <tableColumn id="1" xr3:uid="{54702EA0-2CA4-6941-BF63-1911FBD6E74F}" name="Belastingen en verzekeringen" totalsRowLabel="Totaal" dataDxfId="678" totalsRowDxfId="677"/>
    <tableColumn id="2" xr3:uid="{2412BDA5-45D3-6A4B-AF00-1B2ACDC83607}" name="Eenheid" dataDxfId="676" totalsRowDxfId="675"/>
    <tableColumn id="3" xr3:uid="{9BC345FF-C99D-AA40-94EB-DB1C5E470327}" name="Geen" totalsRowFunction="sum" dataDxfId="674" dataCellStyle="Komma"/>
    <tableColumn id="4" xr3:uid="{2A9C6635-EA8A-D048-8648-D6B5C50CD080}" name="Waarde MAX" totalsRowFunction="sum" dataDxfId="673" totalsRowDxfId="672" dataCellStyle="Komma"/>
    <tableColumn id="5" xr3:uid="{4676144A-91B6-2B48-84C4-E18F24C99B2A}" name="Waarde GEM" totalsRowFunction="sum" dataDxfId="671" totalsRowDxfId="670" dataCellStyle="Komma"/>
    <tableColumn id="6" xr3:uid="{42665FA7-40BE-5B4C-99AB-78BC211A21BD}" name="Waarde MIN" totalsRowFunction="sum" dataDxfId="669" totalsRowDxfId="668" dataCellStyle="Komma"/>
    <tableColumn id="7" xr3:uid="{43CAF0CA-C6A4-6549-ABC3-A589E3FFB8B4}" name="Opmerkingen"/>
    <tableColumn id="8" xr3:uid="{25C311C5-810A-4B4F-A456-5EFA7577E818}" name="Status beschrijving"/>
    <tableColumn id="9" xr3:uid="{4DEEF81C-5B74-3C42-B809-3B9B7160AED4}" name="Status" dataDxfId="667"/>
    <tableColumn id="13" xr3:uid="{7D759DBB-2E7E-2440-8C01-9C6B11162D56}" name="Bron 1 - naam/jaar"/>
    <tableColumn id="14" xr3:uid="{D1F7DE15-2407-F546-B54A-B086DAC98143}" name="Bron 1 - waarde" dataDxfId="666"/>
    <tableColumn id="15" xr3:uid="{C773EF30-6444-4D4B-9851-36DF24CAE052}" name="Bron 1 - type/link"/>
    <tableColumn id="16" xr3:uid="{1024B061-F4AC-884F-BF64-CE1B9E7B63F3}" name="Bron 2 - naam/jaar"/>
    <tableColumn id="17" xr3:uid="{B0E3E12F-E8E4-044E-AC47-D9A846E5053F}" name="Bron 2 - waarde" dataDxfId="665"/>
    <tableColumn id="18" xr3:uid="{17EFB475-3008-0E40-B825-86302C79230A}" name="Bron 2 - type/link"/>
    <tableColumn id="19" xr3:uid="{E526877F-F323-4745-AF83-BF0BDCBE33EC}" name="Bron 3 - naam/jaar"/>
    <tableColumn id="20" xr3:uid="{2FF6DC3D-B0DD-8649-808B-A8260EF637EC}" name="Bron 3 - waarde" dataDxfId="664"/>
    <tableColumn id="21" xr3:uid="{F0F8F4AD-E86B-E047-B0A8-F7060946A614}" name="Bron 3 - type/link" totalsRowFunction="count"/>
    <tableColumn id="10" xr3:uid="{9D70951A-036B-4041-B73A-CFE6D73D4182}" name="Actie"/>
    <tableColumn id="11" xr3:uid="{E843180F-9CD3-654F-A3ED-C8D27CAE65D2}" name="Eigenaar"/>
    <tableColumn id="12" xr3:uid="{E1C9088B-4C8B-224A-8822-C73B0D4D2D3E}" name="Deadline"/>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1BD757F-87DE-1A4B-B414-1397AAD4D0B3}" name="GroteLisdodde" displayName="GroteLisdodde" ref="B161:V166" totalsRowShown="0" headerRowDxfId="663">
  <tableColumns count="21">
    <tableColumn id="1" xr3:uid="{832826F3-0BFA-0342-8C3E-1CCB70888BA9}" name="Gewasopbrengsten grote lisdodde"/>
    <tableColumn id="2" xr3:uid="{610022F7-D019-2647-AED5-812D88B01FB4}" name="Eenheid" dataDxfId="662"/>
    <tableColumn id="3" xr3:uid="{758AC6D6-EC09-8240-BABC-FE7F7C701742}" name="Geen" dataDxfId="661" dataCellStyle="Komma"/>
    <tableColumn id="4" xr3:uid="{522F8D81-541D-3242-AA64-4D27376B1B69}" name="Waarde MAX" dataDxfId="660" dataCellStyle="Komma"/>
    <tableColumn id="5" xr3:uid="{9D986DB6-4492-C34E-9197-542EF9B25D46}" name="Waarde GEM" dataDxfId="659" dataCellStyle="Komma"/>
    <tableColumn id="6" xr3:uid="{7AEDB1A3-5133-CF4E-996C-579C5F2D5519}" name="Waarde MIN" dataDxfId="658" dataCellStyle="Komma"/>
    <tableColumn id="7" xr3:uid="{E33CE72D-1A74-974E-B3B9-231E99D98432}" name="Opmerkingen"/>
    <tableColumn id="8" xr3:uid="{9C52A660-F90A-4D42-AA72-AA95C815F291}" name="Status beschrijving"/>
    <tableColumn id="9" xr3:uid="{72BF2F9F-D0EF-5B46-BC60-58C6713620B5}" name="Status" dataDxfId="657"/>
    <tableColumn id="13" xr3:uid="{A5EE3126-A5F1-0142-8AB4-4F2FBEDCDFEC}" name="Bron 1 - naam/jaar"/>
    <tableColumn id="14" xr3:uid="{766DBDAC-AE55-9541-9987-D2E04F203DA3}" name="Bron 1 - waarde" dataDxfId="656"/>
    <tableColumn id="15" xr3:uid="{598E599D-FB6D-BE49-BFD8-8F79C7F76848}" name="Bron 1 - type/link"/>
    <tableColumn id="16" xr3:uid="{99494AF2-C031-4541-841B-E8BCB57AA961}" name="Bron 2 - naam/jaar"/>
    <tableColumn id="17" xr3:uid="{373CCE55-6ED4-4A4B-AF83-A346917DDC2E}" name="Bron 2 - waarde" dataDxfId="655"/>
    <tableColumn id="18" xr3:uid="{C6962779-EF94-FA40-B913-419663F624EF}" name="Bron 2 - type/link"/>
    <tableColumn id="19" xr3:uid="{055B9880-0FA6-6B4E-9C36-504E3625BD0D}" name="Bron 3 - naam/jaar"/>
    <tableColumn id="20" xr3:uid="{385560DF-2BB6-7C45-AF27-8B0E520D890E}" name="Bron 3 - waarde" dataDxfId="654"/>
    <tableColumn id="21" xr3:uid="{7E63F068-3593-5C4A-9B02-26C3DAF06A9E}" name="Bron 3 - type/link"/>
    <tableColumn id="10" xr3:uid="{B7912050-7575-DC44-84DF-9C502D1C894C}" name="Actie"/>
    <tableColumn id="11" xr3:uid="{4CFBF26C-EB1C-8D4B-BEF6-BF3C6B35CDF6}" name="Eigenaar"/>
    <tableColumn id="12" xr3:uid="{0D3994D9-5187-ED4B-A7BE-00214E73846B}" name="Deadline"/>
  </tableColumns>
  <tableStyleInfo name="TableStyleMedium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9DF6FE2-1507-5D49-B400-540608C3F223}" name="KleineLisdodde" displayName="KleineLisdodde" ref="B168:V173" totalsRowShown="0" headerRowDxfId="653">
  <tableColumns count="21">
    <tableColumn id="1" xr3:uid="{AECEEAFB-7B75-C545-9425-A3D4F681F775}" name="Gewasopbrengsten kleine lisdodde"/>
    <tableColumn id="2" xr3:uid="{161BE06B-A329-B944-BBDF-750DD47C2171}" name="Eenheid" dataDxfId="652"/>
    <tableColumn id="3" xr3:uid="{016C462D-1967-4348-B140-25B39CA3059D}" name="Geen" dataDxfId="651" dataCellStyle="Komma"/>
    <tableColumn id="4" xr3:uid="{2136EBD4-6CD9-CE4D-AD30-16DEC5C501E7}" name="Waarde MAX" dataDxfId="650" dataCellStyle="Komma"/>
    <tableColumn id="5" xr3:uid="{86D7FDF1-D5F0-3C42-ACD3-C24F5FC7F041}" name="Waarde GEM" dataDxfId="649" dataCellStyle="Komma"/>
    <tableColumn id="6" xr3:uid="{688F97A7-2B80-E348-B5E1-B711002D3AF6}" name="Waarde MIN" dataDxfId="648" dataCellStyle="Komma"/>
    <tableColumn id="7" xr3:uid="{3AB9B423-AA1A-BD4F-AD70-FCCD9CA452EE}" name="Opmerkingen"/>
    <tableColumn id="8" xr3:uid="{2EAACEEC-0E43-7743-9348-E4D016F9ED3A}" name="Status beschrijving"/>
    <tableColumn id="9" xr3:uid="{C466A09C-FA41-4A40-8175-55A2EADF1DD7}" name="Status" dataDxfId="647"/>
    <tableColumn id="13" xr3:uid="{B7709458-F798-EA47-B9E1-03F30264A088}" name="Bron 1 - naam/jaar"/>
    <tableColumn id="14" xr3:uid="{BC68D5DF-EB23-5E48-A959-87FF7778992B}" name="Bron 1 - waarde" dataDxfId="646"/>
    <tableColumn id="15" xr3:uid="{E40EF863-9609-6746-8BEF-347E61CD84B0}" name="Bron 1 - type/link"/>
    <tableColumn id="16" xr3:uid="{975DB967-9C07-1444-A985-792E7D5A0143}" name="Bron 2 - naam/jaar"/>
    <tableColumn id="17" xr3:uid="{FA8EE776-FB47-904B-A313-87EB72EED72F}" name="Bron 2 - waarde" dataDxfId="645"/>
    <tableColumn id="18" xr3:uid="{651D929E-12E1-1240-9887-38F55C186BCC}" name="Bron 2 - type/link"/>
    <tableColumn id="19" xr3:uid="{F2CBE942-E2DE-C04E-B3D3-3CCFF363C4E8}" name="Bron 3 - naam/jaar"/>
    <tableColumn id="20" xr3:uid="{03336B0A-3C6F-8342-AE10-F125633763CC}" name="Bron 3 - waarde" dataDxfId="644"/>
    <tableColumn id="21" xr3:uid="{23B2DF99-7171-884A-A368-A91366461AFE}" name="Bron 3 - type/link"/>
    <tableColumn id="10" xr3:uid="{D99569AF-FEC9-484C-81E3-F75157DB478F}" name="Actie"/>
    <tableColumn id="11" xr3:uid="{17442F65-B263-3F49-B77F-A99D46147F23}" name="Eigenaar"/>
    <tableColumn id="12" xr3:uid="{7C14104B-1452-7143-A8E1-4CB75FC817D8}" name="Deadline"/>
  </tableColumns>
  <tableStyleInfo name="TableStyleMedium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16A241F-4C6F-4B42-9BC4-6B704693EB7C}" name="HarvestCost01" displayName="HarvestCost01" ref="B178:V187" totalsRowShown="0" headerRowDxfId="643">
  <tableColumns count="21">
    <tableColumn id="1" xr3:uid="{4B362A1D-8A55-3B42-83A9-3A30A4F023DE}" name="Oogst - tarief - Gehele plant/blad &amp; stengelmateriaal" dataDxfId="642"/>
    <tableColumn id="2" xr3:uid="{AE6E16FB-6783-8048-8590-975C19B18759}" name="Eenheid" dataDxfId="641"/>
    <tableColumn id="3" xr3:uid="{03146E5F-9E53-C542-84E7-2B9701F0DF10}" name="Geen" dataDxfId="640" dataCellStyle="Komma"/>
    <tableColumn id="4" xr3:uid="{4DD21856-C802-E141-BF7A-8C68F447232B}" name="Waarde MAX" dataDxfId="639" dataCellStyle="Komma"/>
    <tableColumn id="5" xr3:uid="{B4D31CD6-B646-7441-94F3-EA49A4A8D0D2}" name="Waarde GEM" dataDxfId="638" dataCellStyle="Komma"/>
    <tableColumn id="6" xr3:uid="{BCB93B64-59C6-8B44-93B3-B659168C6854}" name="Waarde MIN" dataDxfId="637" dataCellStyle="Komma"/>
    <tableColumn id="7" xr3:uid="{81B946E0-0734-664B-9187-C350FA476C88}" name="Opmerkingen"/>
    <tableColumn id="8" xr3:uid="{CAA43268-871F-1349-9155-6D100AD8B216}" name="Status beschrijving"/>
    <tableColumn id="9" xr3:uid="{463496DD-967C-E149-A68D-ECD1ED1CFA90}" name="Status" dataDxfId="636"/>
    <tableColumn id="13" xr3:uid="{818DCD9A-C5D2-BC4C-BB8B-BB867C5CE1C8}" name="Bron 1 - naam/jaar"/>
    <tableColumn id="14" xr3:uid="{B6930AAC-AE0F-8C46-AC31-F655031670D5}" name="Bron 1 - waarde" dataDxfId="635"/>
    <tableColumn id="15" xr3:uid="{0E2252D3-8C2A-A446-9BFA-48CCC94EB126}" name="Bron 1 - type/link"/>
    <tableColumn id="16" xr3:uid="{3AF78F0D-233D-0540-BD5B-64908403E7B3}" name="Bron 2 - naam/jaar"/>
    <tableColumn id="17" xr3:uid="{4C22F4C4-342C-B746-BACA-717E41ED8BD5}" name="Bron 2 - waarde" dataDxfId="634"/>
    <tableColumn id="18" xr3:uid="{645033D9-6983-6846-A7C8-9454373AB75E}" name="Bron 2 - type/link"/>
    <tableColumn id="19" xr3:uid="{624D42A1-94DF-2548-843C-06E8DAA3A377}" name="Bron 3 - naam/jaar"/>
    <tableColumn id="20" xr3:uid="{9CECBCC9-D226-B446-8BDE-86020EEFE92A}" name="Bron 3 - waarde" dataDxfId="633"/>
    <tableColumn id="21" xr3:uid="{FB14EFF8-AC47-F84C-8264-F837DAF3C651}" name="Bron 3 - type/link"/>
    <tableColumn id="10" xr3:uid="{61A4A553-B473-8548-92EA-38F768099394}" name="Actie"/>
    <tableColumn id="11" xr3:uid="{CD5742A4-B1DF-A54A-B1E1-0940A8E1FE63}" name="Eigenaar"/>
    <tableColumn id="12" xr3:uid="{B5D2DF8B-E564-E543-BB06-8CBED9411F3B}" name="Deadline"/>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A7324DB-7F67-9944-ADE9-40F377BC38C4}" name="HarvestCost2" displayName="HarvestCost2" ref="B206:V212" totalsRowShown="0" headerRowDxfId="632">
  <tableColumns count="21">
    <tableColumn id="1" xr3:uid="{FB852B2B-185D-A842-BEB8-B2848E0D91FC}" name="Oogst - tarief - Pluis" dataDxfId="631"/>
    <tableColumn id="2" xr3:uid="{D231E06E-A94F-7647-A21D-B4B09C9F128F}" name="Eenheid" dataDxfId="630"/>
    <tableColumn id="3" xr3:uid="{1178F135-2C00-E44B-A1BC-F80830E8B6FA}" name="Geen" dataDxfId="629" dataCellStyle="Komma"/>
    <tableColumn id="4" xr3:uid="{DFD03C1C-19C4-F34E-BCE3-742F58926B18}" name="Waarde MAX" dataDxfId="628" dataCellStyle="Komma"/>
    <tableColumn id="5" xr3:uid="{73F90A71-F81B-734A-A501-537C276323F2}" name="Waarde GEM" dataDxfId="627" dataCellStyle="Komma"/>
    <tableColumn id="6" xr3:uid="{62C09447-15A1-7C42-98EF-F2AF3C9BFE8B}" name="Waarde MIN" dataDxfId="626" dataCellStyle="Komma"/>
    <tableColumn id="7" xr3:uid="{2B1D5D40-F25C-DE47-8F83-B9209B94411C}" name="Opmerkingen"/>
    <tableColumn id="8" xr3:uid="{F3EB494E-9429-6342-BDAE-8A9440C2D779}" name="Status beschrijving"/>
    <tableColumn id="9" xr3:uid="{0E541F3D-DE15-6F4E-B171-A9C960E83EF7}" name="Status" dataDxfId="625"/>
    <tableColumn id="13" xr3:uid="{F9471079-CFCD-024C-B010-99E11D65CED0}" name="Bron 1 - naam/jaar"/>
    <tableColumn id="14" xr3:uid="{2EFB97F9-06B3-9849-9AAD-A3D2A23A6CC9}" name="Bron 1 - waarde" dataDxfId="624"/>
    <tableColumn id="15" xr3:uid="{18C5F04B-C15B-254B-BE40-CEF7E836D082}" name="Bron 1 - type/link"/>
    <tableColumn id="16" xr3:uid="{A160EFDF-71B5-7949-8F31-E21FE213ED0A}" name="Bron 2 - naam/jaar"/>
    <tableColumn id="17" xr3:uid="{BC5A63BB-BD27-A741-8EC8-6A311DDB82E5}" name="Bron 2 - waarde" dataDxfId="623"/>
    <tableColumn id="18" xr3:uid="{9BD0A369-6F14-F745-A3FB-797AC458C97F}" name="Bron 2 - type/link"/>
    <tableColumn id="19" xr3:uid="{363D221A-122A-0D4A-947A-03D2D4C50BF1}" name="Bron 3 - naam/jaar"/>
    <tableColumn id="20" xr3:uid="{764478FF-7511-674D-96B5-0A0375F7B3D6}" name="Bron 3 - waarde" dataDxfId="622"/>
    <tableColumn id="21" xr3:uid="{3171922A-5CF6-A74A-95C4-A81EC489B987}" name="Bron 3 - type/link"/>
    <tableColumn id="10" xr3:uid="{A8593964-9EEC-3A4D-B9E5-3B6E8C259268}" name="Actie"/>
    <tableColumn id="11" xr3:uid="{E67295AA-7423-6D45-91A2-0C9B998C462A}" name="Eigenaar"/>
    <tableColumn id="12" xr3:uid="{7D2FD3F2-4E62-D140-AC54-837E91EFA68E}" name="Deadline"/>
  </tableColumns>
  <tableStyleInfo name="TableStyleMedium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136A6A8-A82D-8F40-88E9-9AE36BF93A35}" name="HarvestCost11" displayName="HarvestCost11" ref="B200:V204" totalsRowCount="1" headerRowDxfId="621">
  <tableColumns count="21">
    <tableColumn id="1" xr3:uid="{F3B17E49-E6DE-034F-BD69-80CB72928373}" name="Veld &amp; opslaglogistiek - tarief - Gehele plant/blad &amp; stengelmateriaal" totalsRowLabel="Totaal" dataDxfId="620" totalsRowDxfId="619"/>
    <tableColumn id="2" xr3:uid="{96DC6F70-27B1-5F4D-AB86-EC90A2861D04}" name="Eenheid" dataDxfId="618" totalsRowDxfId="617"/>
    <tableColumn id="3" xr3:uid="{CFB2AD4D-AFD6-324C-9907-172E3173D53A}" name="Geen" totalsRowFunction="sum" dataDxfId="616" totalsRowDxfId="615" dataCellStyle="Komma"/>
    <tableColumn id="4" xr3:uid="{F9B8E572-C2BD-834E-9E99-F46CB9A634FE}" name="Waarde MAX" totalsRowFunction="sum" dataDxfId="614" totalsRowDxfId="613" dataCellStyle="Komma"/>
    <tableColumn id="5" xr3:uid="{3477977C-BD1F-F543-9AB0-4529C4BC4ACD}" name="Waarde GEM" totalsRowFunction="sum" dataDxfId="612" totalsRowDxfId="611" dataCellStyle="Komma"/>
    <tableColumn id="6" xr3:uid="{BC77184F-2851-3E47-B21F-35DFDE285EA3}" name="Waarde MIN" totalsRowFunction="sum" dataDxfId="610" totalsRowDxfId="609" dataCellStyle="Komma"/>
    <tableColumn id="7" xr3:uid="{7F3EB3B0-4BCD-DC45-B83C-B117A568ACDA}" name="Opmerkingen" dataDxfId="608"/>
    <tableColumn id="8" xr3:uid="{6D20A422-9F92-9B40-BDFD-10D7B0493FA7}" name="Status beschrijving" dataDxfId="607"/>
    <tableColumn id="9" xr3:uid="{03E4F62A-05FE-A945-B655-3BD0F328C361}" name="Status" dataDxfId="606" totalsRowDxfId="605"/>
    <tableColumn id="13" xr3:uid="{6E0E1C2F-BA0F-DB44-BB77-E702A34C59AC}" name="Bron 1 - naam/jaar" dataDxfId="604"/>
    <tableColumn id="14" xr3:uid="{5D19B272-D8D0-3340-9DDF-FC12B9A0D2C3}" name="Bron 1 - waarde" dataDxfId="603" totalsRowDxfId="602"/>
    <tableColumn id="15" xr3:uid="{2E8C1070-0047-8F4F-8FC2-CF8FE8D70C77}" name="Bron 1 - type/link"/>
    <tableColumn id="16" xr3:uid="{07C7D249-F68E-2E4D-A880-F5BD7F0C3594}" name="Bron 2 - naam/jaar"/>
    <tableColumn id="17" xr3:uid="{815E2582-0200-7347-B69F-44DB8BA13F7C}" name="Bron 2 - waarde" dataDxfId="601" totalsRowDxfId="600"/>
    <tableColumn id="18" xr3:uid="{6BA07058-184E-A84B-9E6E-205AEE7209E8}" name="Bron 2 - type/link"/>
    <tableColumn id="19" xr3:uid="{A183517A-A987-B542-A65D-4BA24103C497}" name="Bron 3 - naam/jaar"/>
    <tableColumn id="20" xr3:uid="{9CC92DA2-B2C6-7646-9DC1-ACD8B194665C}" name="Bron 3 - waarde" dataDxfId="599" totalsRowDxfId="598"/>
    <tableColumn id="21" xr3:uid="{1A520F2E-9579-CB4F-BEBB-4E02D87D6BD7}" name="Bron 3 - type/link"/>
    <tableColumn id="10" xr3:uid="{76D26CAA-F5EC-0648-A0B8-EE93CF742FAF}" name="Actie"/>
    <tableColumn id="11" xr3:uid="{5C69FB14-88C9-514B-84A0-D8FE62B5A561}" name="Eigenaar"/>
    <tableColumn id="12" xr3:uid="{84149005-EE7E-5648-890A-D6607E397514}" name="Deadline"/>
  </tableColumns>
  <tableStyleInfo name="TableStyleMedium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C4C6D0C-13C6-7F47-A3AC-3A12112AD61A}" name="HarvestCost21" displayName="HarvestCost21" ref="B222:V226" totalsRowCount="1" headerRowDxfId="597">
  <tableColumns count="21">
    <tableColumn id="1" xr3:uid="{2D6C3133-E4C2-1049-9C98-71C45E5AF79E}" name="Veld &amp; opslaglogistiek - tarief - Pluis " totalsRowLabel="Totaal" dataDxfId="596" totalsRowDxfId="595"/>
    <tableColumn id="2" xr3:uid="{255718EF-9A21-634B-8757-7D0F89FE8B53}" name="Eenheid" dataDxfId="594" totalsRowDxfId="593"/>
    <tableColumn id="3" xr3:uid="{E0BBF4E1-5CF2-F34D-8607-10117DE66BEA}" name="Geen" totalsRowFunction="sum" dataDxfId="592" totalsRowDxfId="591" dataCellStyle="Komma"/>
    <tableColumn id="4" xr3:uid="{ABEB1FD8-BDAC-3D4B-9B18-9914B35E527D}" name="Waarde MAX" totalsRowFunction="sum" dataDxfId="590" totalsRowDxfId="589" dataCellStyle="Komma"/>
    <tableColumn id="5" xr3:uid="{8514C0ED-1EDC-6F42-A285-FE7A54C58E16}" name="Waarde GEM" totalsRowFunction="sum" dataDxfId="588" totalsRowDxfId="587" dataCellStyle="Komma"/>
    <tableColumn id="6" xr3:uid="{B14FCE21-4440-BA4C-9E9A-1287B32A3C85}" name="Waarde MIN" totalsRowFunction="sum" dataDxfId="586" totalsRowDxfId="585" dataCellStyle="Komma"/>
    <tableColumn id="7" xr3:uid="{2ADC72E2-1B44-4647-A29C-12207BB307D2}" name="Opmerkingen" dataDxfId="584"/>
    <tableColumn id="8" xr3:uid="{AAFD1F8E-A981-7844-B119-90AC21D9651F}" name="Status beschrijving" dataDxfId="583"/>
    <tableColumn id="9" xr3:uid="{5F598321-86A3-0B4D-9A47-378A8037F489}" name="Status" dataDxfId="582" totalsRowDxfId="581"/>
    <tableColumn id="13" xr3:uid="{FEF6208D-1CDB-DB4C-BD76-A4DBBC1AA2F9}" name="Bron 1 - naam/jaar" dataDxfId="580"/>
    <tableColumn id="14" xr3:uid="{CC0B9E90-CB20-4E4B-991B-0511778098AF}" name="Bron 1 - waarde" dataDxfId="579" totalsRowDxfId="578"/>
    <tableColumn id="15" xr3:uid="{F65D141F-958A-6A45-A69D-73D0D0AC72FB}" name="Bron 1 - type/link"/>
    <tableColumn id="16" xr3:uid="{3F080049-6486-3B47-BFFE-DFBCC567769F}" name="Bron 2 - naam/jaar"/>
    <tableColumn id="17" xr3:uid="{64FF946C-57D8-104C-9F5D-E964D646A9F6}" name="Bron 2 - waarde" dataDxfId="577" totalsRowDxfId="576"/>
    <tableColumn id="18" xr3:uid="{7788D22F-BF2F-614D-BAE2-FDE38EBE14D7}" name="Bron 2 - type/link"/>
    <tableColumn id="19" xr3:uid="{94B3AFB0-6A24-4547-A0E5-89591E66CF36}" name="Bron 3 - naam/jaar"/>
    <tableColumn id="20" xr3:uid="{2D92F039-F13C-0E4E-9185-E3F481FDDB46}" name="Bron 3 - waarde" dataDxfId="575" totalsRowDxfId="574"/>
    <tableColumn id="21" xr3:uid="{345A1C56-8A2D-3A40-B4AD-1C45A9F0545A}" name="Bron 3 - type/link"/>
    <tableColumn id="10" xr3:uid="{677F89A4-EC63-8F40-B110-649CBAE6AEE1}" name="Actie"/>
    <tableColumn id="11" xr3:uid="{164DED4C-D08C-2C47-8113-7F61E17D9692}" name="Eigenaar"/>
    <tableColumn id="12" xr3:uid="{16114709-FEAE-FA4A-B974-BC087E014886}" name="Deadline"/>
  </tableColumns>
  <tableStyleInfo name="TableStyleMedium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53D25C6-5E4C-BA4D-8105-4C109D3EC937}" name="Stock1" displayName="Stock1" ref="B231:V237" totalsRowShown="0" headerRowDxfId="573">
  <tableColumns count="21">
    <tableColumn id="1" xr3:uid="{1810B57E-52F7-514C-BE5F-ACFFB0CC905E}" name="Bewaarmethode - Plant/blad &amp; stengelmateriaal" dataDxfId="572"/>
    <tableColumn id="2" xr3:uid="{B990850A-D03D-004F-BE1C-1B47E4E13208}" name="Eenheid" dataDxfId="571"/>
    <tableColumn id="3" xr3:uid="{83519E01-6506-1142-92F2-6C5799DD4CA8}" name="Geen" dataDxfId="570" dataCellStyle="Komma"/>
    <tableColumn id="4" xr3:uid="{DEC38779-7E4E-A442-A094-BF064584C307}" name="Waarde MAX" dataDxfId="569" dataCellStyle="Komma"/>
    <tableColumn id="5" xr3:uid="{2047D3D3-8315-0C41-8C30-103F28B5EB82}" name="Waarde GEM" dataDxfId="568" dataCellStyle="Komma"/>
    <tableColumn id="6" xr3:uid="{6F25A19E-0EE7-7448-8DBD-2355B925D9A1}" name="Waarde MIN" dataDxfId="567" dataCellStyle="Komma"/>
    <tableColumn id="7" xr3:uid="{06DEB3C9-767A-6840-9A87-F458CBA33AEE}" name="Opmerkingen"/>
    <tableColumn id="8" xr3:uid="{5E5BC66E-8D59-EE4E-B2A0-96D92733CF67}" name="Status beschrijving"/>
    <tableColumn id="9" xr3:uid="{A92434F1-13C2-7D4D-AC69-D4651A6FD01F}" name="Status" dataDxfId="566"/>
    <tableColumn id="13" xr3:uid="{F56C85C1-8984-7A45-9181-1DF03B2DD26C}" name="Bron 1 - naam/jaar"/>
    <tableColumn id="14" xr3:uid="{890A6441-7E43-C247-A6A7-F9CE850AC9EE}" name="Bron 1 - waarde" dataDxfId="565"/>
    <tableColumn id="15" xr3:uid="{8816F8D0-559D-2D41-929F-D187B84FA4F4}" name="Bron 1 - type/link"/>
    <tableColumn id="16" xr3:uid="{A2127DE3-57F7-5742-A035-BE1014E7FAEA}" name="Bron 2 - naam/jaar"/>
    <tableColumn id="17" xr3:uid="{123BB5D9-90AB-EB44-AF25-D869A7336F57}" name="Bron 2 - waarde" dataDxfId="564"/>
    <tableColumn id="18" xr3:uid="{8241A552-3922-7A47-B8D3-CE228B81E438}" name="Bron 2 - type/link"/>
    <tableColumn id="19" xr3:uid="{E214B2AC-5507-2D4F-B286-6399D817322B}" name="Bron 3 - naam/jaar"/>
    <tableColumn id="20" xr3:uid="{2C88DEF4-0839-6A4A-91D2-650FC9D84B23}" name="Bron 3 - waarde" dataDxfId="563"/>
    <tableColumn id="21" xr3:uid="{E5AE8E1A-7D8E-3D42-B230-894FE7BFC5A9}" name="Bron 3 - type/link"/>
    <tableColumn id="10" xr3:uid="{A9D02586-D11A-F449-B82B-48AB594E1CAA}" name="Actie"/>
    <tableColumn id="11" xr3:uid="{C8E4AFC0-F61A-E24F-86C5-6417E08CC771}" name="Eigenaar"/>
    <tableColumn id="12" xr3:uid="{21B4E762-80FA-1847-AFE1-EE18E7AB6498}" name="Deadline"/>
  </tableColumns>
  <tableStyleInfo name="TableStyleMedium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F733FB3-E232-694A-90A3-1AC2B0EF89F0}" name="Stock2" displayName="Stock2" ref="B254:V259" totalsRowShown="0" headerRowDxfId="562">
  <tableColumns count="21">
    <tableColumn id="1" xr3:uid="{C05F1E75-E664-7243-B913-F57A705A58EB}" name="Bewaarmethode - Pluis" dataDxfId="561"/>
    <tableColumn id="2" xr3:uid="{D70C269F-5EB4-1740-BC98-EB2C1C0360F8}" name="Eenheid" dataDxfId="560"/>
    <tableColumn id="3" xr3:uid="{D4210072-D50F-D44E-8271-347B4FFA980F}" name="Geen" dataDxfId="559" dataCellStyle="Komma"/>
    <tableColumn id="4" xr3:uid="{A54F200C-2A02-1B4E-9D75-EF814C460FFD}" name="Waarde MAX" dataDxfId="558" dataCellStyle="Komma"/>
    <tableColumn id="5" xr3:uid="{0FE43DA2-6FDC-0049-9138-59B6932EFE3F}" name="Waarde GEM" dataDxfId="557" dataCellStyle="Komma"/>
    <tableColumn id="6" xr3:uid="{8B7EC148-3187-D945-A3D7-E6173413335F}" name="Waarde MIN" dataDxfId="556" dataCellStyle="Komma"/>
    <tableColumn id="7" xr3:uid="{FF9E5BFC-6D23-F145-B1F5-7DB3B48BA056}" name="Opmerkingen"/>
    <tableColumn id="8" xr3:uid="{4DD78599-1F81-7843-80CD-2AE7C71A283B}" name="Status beschrijving"/>
    <tableColumn id="9" xr3:uid="{86EB5A70-531B-E449-80FF-E4990449667B}" name="Status" dataDxfId="555"/>
    <tableColumn id="13" xr3:uid="{C55C5F28-D259-7647-B71F-809CDD3C72D8}" name="Bron 1 - naam/jaar"/>
    <tableColumn id="14" xr3:uid="{512211C9-9C06-F544-8BB9-10A2BE9B0752}" name="Bron 1 - waarde" dataDxfId="554"/>
    <tableColumn id="15" xr3:uid="{3BA88D19-8E03-384E-9E71-9FE1ACB0B3F5}" name="Bron 1 - type/link"/>
    <tableColumn id="16" xr3:uid="{BAE12284-47CA-B84E-B27F-D806477F5F3A}" name="Bron 2 - naam/jaar"/>
    <tableColumn id="17" xr3:uid="{BE9760A4-D2E2-A943-A3D0-2CD2BF52F8FA}" name="Bron 2 - waarde" dataDxfId="553"/>
    <tableColumn id="18" xr3:uid="{3DF0C7C2-7416-454A-9352-24B9564A44EF}" name="Bron 2 - type/link"/>
    <tableColumn id="19" xr3:uid="{737CBBF0-D8A9-6A47-9B7A-AC4816818DC9}" name="Bron 3 - naam/jaar"/>
    <tableColumn id="20" xr3:uid="{52784C27-587D-AB45-B375-1E9E7D677365}" name="Bron 3 - waarde" dataDxfId="552"/>
    <tableColumn id="21" xr3:uid="{816D80C5-EEFD-2B4D-ADC0-6E5BF3E720E0}" name="Bron 3 - type/link"/>
    <tableColumn id="10" xr3:uid="{31BCE2DE-7307-164F-B1B5-E38611E3870D}" name="Actie"/>
    <tableColumn id="11" xr3:uid="{C34D97AD-E08D-CD48-981E-A90DC655E3C1}" name="Eigenaar"/>
    <tableColumn id="12" xr3:uid="{F6D1C7F6-D270-4949-ADAD-99346914D34F}" name="Deadline"/>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1A46ED5-59CB-E944-9DC2-5466BD99B2E7}" name="Stock11" displayName="Stock11" ref="B239:V246" totalsRowShown="0" headerRowDxfId="551">
  <tableColumns count="21">
    <tableColumn id="1" xr3:uid="{49D06C66-8A73-F04B-BF31-183B4F0607C8}" name="Opslag - Plant/blad &amp; stengelmateriaal" dataDxfId="550"/>
    <tableColumn id="2" xr3:uid="{3F0078E8-DD1C-BF40-843E-0D4F3AB57F02}" name="Eenheid" dataDxfId="549"/>
    <tableColumn id="3" xr3:uid="{EFCA93C7-D5CB-4549-9356-0FC21BD57820}" name="Geen" dataDxfId="548" dataCellStyle="Komma"/>
    <tableColumn id="4" xr3:uid="{193323FC-AA19-2848-8D79-1101778DDFAB}" name="Waarde MAX" dataDxfId="547" dataCellStyle="Komma"/>
    <tableColumn id="5" xr3:uid="{53322705-D109-E943-8682-7BEDEB474D4A}" name="Waarde GEM" dataDxfId="546" dataCellStyle="Komma"/>
    <tableColumn id="6" xr3:uid="{38A40C3F-4DBF-7C43-BBB1-D4142EB305E3}" name="Waarde MIN" dataDxfId="545" dataCellStyle="Komma"/>
    <tableColumn id="7" xr3:uid="{9BC5B260-60BF-8E4D-8E56-F69752DB8302}" name="Opmerkingen"/>
    <tableColumn id="8" xr3:uid="{C43C4556-AF15-3745-9917-356E5527080C}" name="Status beschrijving"/>
    <tableColumn id="9" xr3:uid="{EDAD9E7F-4E1C-C24C-A361-1444B983B974}" name="Status" dataDxfId="544"/>
    <tableColumn id="13" xr3:uid="{1AFAECFF-C204-A84E-911A-939398027757}" name="Bron 1 - naam/jaar"/>
    <tableColumn id="14" xr3:uid="{076E6485-9AE4-924C-85C3-57DB74EF5E2D}" name="Bron 1 - waarde" dataDxfId="543"/>
    <tableColumn id="15" xr3:uid="{C2DF49F3-3F9C-794D-A53E-790EA9A69161}" name="Bron 1 - type/link"/>
    <tableColumn id="16" xr3:uid="{2C41E830-ADC1-BE4F-9CEB-410E19B8FDF6}" name="Bron 2 - naam/jaar"/>
    <tableColumn id="17" xr3:uid="{780AE203-1507-8E4C-9D94-796DD897383E}" name="Bron 2 - waarde" dataDxfId="542"/>
    <tableColumn id="18" xr3:uid="{A03918B7-C1CA-A64D-9D90-774BC5E04A95}" name="Bron 2 - type/link"/>
    <tableColumn id="19" xr3:uid="{E137DC48-ECCB-B145-8D76-715B9A9A17E0}" name="Bron 3 - naam/jaar"/>
    <tableColumn id="20" xr3:uid="{9223598D-E739-AD45-9366-309BC49C2791}" name="Bron 3 - waarde" dataDxfId="541"/>
    <tableColumn id="21" xr3:uid="{ABFBA837-07BF-A74E-83B4-487DF47779BE}" name="Bron 3 - type/link"/>
    <tableColumn id="10" xr3:uid="{02C703DA-A78C-E849-BAEF-3C2862F215B8}" name="Actie"/>
    <tableColumn id="11" xr3:uid="{C9E5F656-979A-FC42-A099-F16FFA417F24}" name="Eigenaar"/>
    <tableColumn id="12" xr3:uid="{1CF93D77-188E-EB42-9F6F-56D1EFE8EAF9}" name="Deadline"/>
  </tableColumns>
  <tableStyleInfo name="TableStyleMedium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CFB1E60-5196-6C44-8BD6-118BD3E3E406}" name="Stock21" displayName="Stock21" ref="B266:V271" totalsRowShown="0" headerRowDxfId="540">
  <tableColumns count="21">
    <tableColumn id="1" xr3:uid="{AF22D253-7E20-B746-B280-324724E5B641}" name="Opslag - Pluis" dataDxfId="539"/>
    <tableColumn id="2" xr3:uid="{3D00BE39-BE1E-B74B-AA76-F4FBF2236F7B}" name="Eenheid" dataDxfId="538"/>
    <tableColumn id="3" xr3:uid="{747A4E74-6AE4-444D-B6EA-EF2F1DD8A3F9}" name="Geen" dataDxfId="537" dataCellStyle="Komma"/>
    <tableColumn id="4" xr3:uid="{9B1B7A31-9FAD-014F-AEB9-3848762AD46A}" name="Waarde MAX" dataDxfId="536" dataCellStyle="Komma"/>
    <tableColumn id="5" xr3:uid="{1CDF8A9D-264C-544A-8429-EA30E849FEFE}" name="Waarde GEM" dataDxfId="535" dataCellStyle="Komma"/>
    <tableColumn id="6" xr3:uid="{3B3DE0ED-3C4C-9540-945D-EDBD6A68ED05}" name="Waarde MIN" dataDxfId="534" dataCellStyle="Komma"/>
    <tableColumn id="7" xr3:uid="{A23408E2-AA77-C844-9C36-05196655979C}" name="Opmerkingen"/>
    <tableColumn id="8" xr3:uid="{2410B168-7665-0542-8ED5-3624BDF8144F}" name="Status beschrijving"/>
    <tableColumn id="9" xr3:uid="{9EF026BE-D87F-4247-8661-CB5B7C443702}" name="Status" dataDxfId="533"/>
    <tableColumn id="13" xr3:uid="{FA662176-795D-4346-9FA9-091A13710232}" name="Bron 1 - naam/jaar"/>
    <tableColumn id="14" xr3:uid="{50D28664-6DCA-BC4F-979F-410273B243F9}" name="Bron 1 - waarde" dataDxfId="532"/>
    <tableColumn id="15" xr3:uid="{AC285BC1-493D-D641-B97C-EE7AB731D38D}" name="Bron 1 - type/link"/>
    <tableColumn id="16" xr3:uid="{71D74BD0-E184-DA48-A68F-28FC010D57A1}" name="Bron 2 - naam/jaar"/>
    <tableColumn id="17" xr3:uid="{49F4E6CA-4255-4348-ACF1-CD68D9D9F0D3}" name="Bron 2 - waarde" dataDxfId="531"/>
    <tableColumn id="18" xr3:uid="{F436CC19-7779-CF43-A1BA-3224D06C8BBE}" name="Bron 2 - type/link"/>
    <tableColumn id="19" xr3:uid="{AF7D21FF-6A11-8E4A-AE85-9A7C9C360624}" name="Bron 3 - naam/jaar"/>
    <tableColumn id="20" xr3:uid="{E4F2C8C8-9434-6949-B26B-D33655D463A0}" name="Bron 3 - waarde" dataDxfId="530"/>
    <tableColumn id="21" xr3:uid="{BA0FA804-8072-9C4C-BD12-55004BE9920F}" name="Bron 3 - type/link"/>
    <tableColumn id="10" xr3:uid="{69611892-6EAD-6D4F-9783-F8E87E1F2DC5}" name="Actie"/>
    <tableColumn id="11" xr3:uid="{9A0D0BAD-DF0D-B34C-8C7D-586BD26B78D0}" name="Eigenaar"/>
    <tableColumn id="12" xr3:uid="{67FF9373-52F2-AE45-82F5-772CC471B58F}" name="Deadline"/>
  </tableColumns>
  <tableStyleInfo name="TableStyleMedium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661D73D-1065-6342-A1F5-47CA36A6DC5D}" name="Product01" displayName="Product01" ref="B280:V295" totalsRowShown="0" headerRowDxfId="529" dataDxfId="528">
  <tableColumns count="21">
    <tableColumn id="1" xr3:uid="{9E27F164-EA96-9C41-8EF0-CF802653FFAA}" name="Producten"/>
    <tableColumn id="2" xr3:uid="{66F3BA0D-E646-F04C-A4D5-77A083704029}" name="Eenheid" dataDxfId="527"/>
    <tableColumn id="3" xr3:uid="{00A4DEA1-143F-4845-8467-436C2ED24307}" name="Geen" dataDxfId="526" dataCellStyle="Komma"/>
    <tableColumn id="4" xr3:uid="{23A06314-8546-994B-9200-8CC001FD5EA6}" name="Waarde MAX" dataDxfId="525" dataCellStyle="Komma"/>
    <tableColumn id="5" xr3:uid="{BA4C501B-6646-9E4E-AF1C-A4EBDCA7D0C6}" name="Waarde GEM" dataDxfId="524" dataCellStyle="Komma"/>
    <tableColumn id="6" xr3:uid="{4B5E2511-3CB2-6846-AB3E-DD34D424067A}" name="Waarde MIN" dataDxfId="523" dataCellStyle="Komma"/>
    <tableColumn id="7" xr3:uid="{4CF940DE-73FF-1F4B-BCD5-96A5F5201D5F}" name="Opmerkingen" dataDxfId="522"/>
    <tableColumn id="8" xr3:uid="{CA131E62-187D-924C-87AC-4D45EAE3B680}" name="Status beschrijving" dataDxfId="521"/>
    <tableColumn id="9" xr3:uid="{B8FFA1F5-8743-8342-8770-52B390E9CAB3}" name="Status" dataDxfId="520"/>
    <tableColumn id="13" xr3:uid="{3C6B0F3B-2BC5-134E-BD06-C20EB2268A42}" name="Bron 1 - naam/jaar" dataDxfId="519"/>
    <tableColumn id="14" xr3:uid="{8A164320-D8D0-3C40-8876-91AD54947A4D}" name="Bron 1 - waarde" dataDxfId="518"/>
    <tableColumn id="15" xr3:uid="{D73F71AD-372E-EF49-A868-456748F0606B}" name="Bron 1 - type/link" dataDxfId="517"/>
    <tableColumn id="16" xr3:uid="{B061320C-BAB9-9B4E-99EC-CAE7B0EAE66F}" name="Bron 2 - naam/jaar" dataDxfId="516"/>
    <tableColumn id="17" xr3:uid="{3E1248D8-1674-644C-AD7D-984BB428D352}" name="Bron 2 - waarde" dataDxfId="515"/>
    <tableColumn id="18" xr3:uid="{977EFD2C-9F53-4144-88FF-CE7D521D82FD}" name="Bron 2 - type/link" dataDxfId="514"/>
    <tableColumn id="19" xr3:uid="{651BE2DB-58C8-824B-BF14-2DDFDE092639}" name="Bron 3 - naam/jaar" dataDxfId="513"/>
    <tableColumn id="20" xr3:uid="{EB7595D6-C0C2-3747-BB85-F157A3C7FE0C}" name="Bron 3 - waarde" dataDxfId="512"/>
    <tableColumn id="21" xr3:uid="{7240C900-799E-1745-9B99-12265C484CC8}" name="Bron 3 - type/link" dataDxfId="511"/>
    <tableColumn id="10" xr3:uid="{25B387AD-B77D-8E43-915A-250C57DA0F41}" name="Actie" dataDxfId="510"/>
    <tableColumn id="11" xr3:uid="{D751CE02-4F93-5841-A12A-972FF063AAD7}" name="Eigenaar" dataDxfId="509"/>
    <tableColumn id="12" xr3:uid="{BA799AB2-49BE-914B-92E1-3BF7D74A83D1}" name="Deadline" dataDxfId="508"/>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BEE762A-41BA-D440-8E11-F9C42A83ACF0}" name="ProcesCost01" displayName="ProcesCost01" ref="B320:V323" totalsRowShown="0" headerRowDxfId="507">
  <tableColumns count="21">
    <tableColumn id="1" xr3:uid="{5C674EB0-B1B0-1F4B-A751-E79191799000}" name="Transportkosten"/>
    <tableColumn id="2" xr3:uid="{88B28523-BD2D-4345-96D9-09F27B53566F}" name="Eenheid" dataDxfId="506"/>
    <tableColumn id="3" xr3:uid="{397100A7-81C0-B140-9D11-FE7530A331D4}" name="Geen" dataCellStyle="Komma"/>
    <tableColumn id="4" xr3:uid="{06D9324D-BE30-3F4A-80FE-ED31B0E0CF3F}" name="Waarde MAX" dataDxfId="505" dataCellStyle="Komma"/>
    <tableColumn id="5" xr3:uid="{741C1E9F-C0CA-144F-9A59-8DDC2CC4ADE8}" name="Waarde GEM" dataDxfId="504" dataCellStyle="Komma"/>
    <tableColumn id="6" xr3:uid="{F411DA94-92AB-5748-9507-7283657D035B}" name="Waarde MIN" dataDxfId="503" dataCellStyle="Komma"/>
    <tableColumn id="7" xr3:uid="{07FEB5EB-A26A-374A-A92C-3AA0DF52E656}" name="Opmerkingen"/>
    <tableColumn id="8" xr3:uid="{5149BBFC-AFC0-8748-AF62-F713E7208488}" name="Status beschrijving"/>
    <tableColumn id="9" xr3:uid="{26E40895-8285-3245-B4DB-E0EDA094BACF}" name="Status" dataDxfId="502"/>
    <tableColumn id="13" xr3:uid="{90D0D085-C2C4-AB45-8FC4-5E6018F0E764}" name="Bron 1 - naam/jaar"/>
    <tableColumn id="14" xr3:uid="{944DDC01-2DA2-C04B-8404-F5E6F8DF22CC}" name="Bron 1 - waarde" dataDxfId="501"/>
    <tableColumn id="15" xr3:uid="{880EEB9C-C0F5-5C42-BA10-D28FB2B7E83B}" name="Bron 1 - type/link"/>
    <tableColumn id="16" xr3:uid="{25F5EC41-9B7C-BE43-897A-E3C3E28075A3}" name="Bron 2 - naam/jaar"/>
    <tableColumn id="17" xr3:uid="{ADA28911-3FE8-B54D-8BA3-E29966C7CDDA}" name="Bron 2 - waarde" dataDxfId="500"/>
    <tableColumn id="18" xr3:uid="{ADF8128D-0A66-0B4F-811B-5F84E7E74560}" name="Bron 2 - type/link"/>
    <tableColumn id="19" xr3:uid="{374CE8AE-CD50-9B4D-A15A-354ADC229F99}" name="Bron 3 - naam/jaar"/>
    <tableColumn id="20" xr3:uid="{A5304C61-B924-AD47-B17E-93E1569844C4}" name="Bron 3 - waarde" dataDxfId="499"/>
    <tableColumn id="21" xr3:uid="{8CA2E4E9-D119-8345-808F-8E6E85211596}" name="Bron 3 - type/link"/>
    <tableColumn id="10" xr3:uid="{0CE92DCA-12DA-A047-8926-0CD594A571FA}" name="Actie"/>
    <tableColumn id="11" xr3:uid="{A0AE287A-3B3A-824F-AD50-59331AD16A3B}" name="Eigenaar"/>
    <tableColumn id="12" xr3:uid="{1F69E9F1-DAEF-994D-9F28-9C2B2963A504}" name="Deadlin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C5C289-D647-DB46-ACE6-F6A0258527DE}" name="DryingCost1" displayName="DryingCost1" ref="B329:V336" totalsRowShown="0" headerRowDxfId="498">
  <tableColumns count="21">
    <tableColumn id="1" xr3:uid="{1DFD1765-FF02-0748-A71C-C079670F2AFB}" name="Drogen - Kosten" dataDxfId="497"/>
    <tableColumn id="2" xr3:uid="{44AB3869-B646-5346-8E14-A19B83A69B8B}" name="Eenheid" dataDxfId="496"/>
    <tableColumn id="3" xr3:uid="{8533BC2B-4820-0B47-A7E4-1CAB03A75DA7}" name="Geen" dataCellStyle="Komma"/>
    <tableColumn id="4" xr3:uid="{F8D3E39C-EBDE-ED4F-AE9F-CB3C65F1E01D}" name="Waarde MAX" dataDxfId="495" dataCellStyle="Komma"/>
    <tableColumn id="5" xr3:uid="{AB3751D4-F2BF-C143-9E8A-751C0CA03C1B}" name="Waarde GEM" dataDxfId="494" dataCellStyle="Komma"/>
    <tableColumn id="6" xr3:uid="{9BBC880D-1D46-7C44-9C79-46270E5BFA46}" name="Waarde MIN" dataDxfId="493" dataCellStyle="Komma"/>
    <tableColumn id="7" xr3:uid="{08B391E3-44A5-7B49-B506-31204D903CAD}" name="Opmerkingen"/>
    <tableColumn id="8" xr3:uid="{BA651B0F-C5C3-5A45-B6C6-C358C41E596E}" name="Status beschrijving"/>
    <tableColumn id="9" xr3:uid="{EEB0E9AB-82F2-BC4A-ADE0-32C4874F4F88}" name="Status" dataDxfId="492"/>
    <tableColumn id="13" xr3:uid="{7C75F895-8ACA-8942-8AF1-BA0245A0DF44}" name="Bron 1 - naam/jaar"/>
    <tableColumn id="14" xr3:uid="{6628A1C9-BB77-6D4E-B22B-010BAA2F82A7}" name="Bron 1 - waarde" dataDxfId="491"/>
    <tableColumn id="15" xr3:uid="{66F585E2-7D4C-744A-925B-1143D7FB9D2C}" name="Bron 1 - type/link"/>
    <tableColumn id="16" xr3:uid="{4D452C1E-A3F6-2B44-867E-AAD9C98CC9F8}" name="Bron 2 - naam/jaar"/>
    <tableColumn id="17" xr3:uid="{449B3A30-7C23-AC4E-A1BB-79AB1D6D8DCD}" name="Bron 2 - waarde" dataDxfId="490"/>
    <tableColumn id="18" xr3:uid="{B75F4655-8902-9841-8B43-30CE5048A767}" name="Bron 2 - type/link"/>
    <tableColumn id="19" xr3:uid="{A4F3906C-1F48-3F45-8601-97CA93C9125C}" name="Bron 3 - naam/jaar"/>
    <tableColumn id="20" xr3:uid="{183F332A-A5F9-9B4E-9378-C22E948C094A}" name="Bron 3 - waarde" dataDxfId="489"/>
    <tableColumn id="21" xr3:uid="{3A2AE472-108B-A04B-A4C6-E1C1378AFD94}" name="Bron 3 - type/link"/>
    <tableColumn id="10" xr3:uid="{13D43971-6598-0D41-9828-E10023C5A926}" name="Actie"/>
    <tableColumn id="11" xr3:uid="{2E26B7CA-24C5-1B4A-9A5C-37201718F4EA}" name="Eigenaar"/>
    <tableColumn id="12" xr3:uid="{75326AB5-D12B-7A43-8BB8-13D47DF814C1}" name="Deadline"/>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ABF7547-F063-A741-9B84-99BDB6C20B49}" name="DryingCost11" displayName="DryingCost11" ref="B338:V345" totalsRowShown="0" headerRowDxfId="488">
  <tableColumns count="21">
    <tableColumn id="1" xr3:uid="{06A6CA89-AA72-A641-9ECD-4E10735D87EB}" name="Drogen - Producteffciency" dataDxfId="487">
      <calculatedColumnFormula>B330</calculatedColumnFormula>
    </tableColumn>
    <tableColumn id="2" xr3:uid="{E613066C-DC92-C24B-ADF1-0B77E4A39B6B}" name="Eenheid" dataDxfId="486"/>
    <tableColumn id="3" xr3:uid="{F22739EC-B052-AC45-AB21-AFB25B6E5367}" name="Geen" dataCellStyle="Procent"/>
    <tableColumn id="4" xr3:uid="{816D1DDC-920D-EC4B-9E36-22ABD287294D}" name="Waarde MAX" dataDxfId="485" dataCellStyle="Procent"/>
    <tableColumn id="5" xr3:uid="{92F9F9F3-F36C-6445-A4F8-0BDDC3FCD3CC}" name="Waarde GEM" dataDxfId="484" dataCellStyle="Procent"/>
    <tableColumn id="6" xr3:uid="{21A22981-33E7-604E-8451-6EDDFABBEA45}" name="Waarde MIN" dataDxfId="483" dataCellStyle="Procent"/>
    <tableColumn id="7" xr3:uid="{FF042341-8E0F-3F4F-925D-6E92ACC61534}" name="Opmerkingen"/>
    <tableColumn id="8" xr3:uid="{EDBC9DFD-440F-B64E-B414-F546F55F787A}" name="Status beschrijving"/>
    <tableColumn id="9" xr3:uid="{B4CC008D-9D28-064D-BBE6-DBD7B304EEAC}" name="Status" dataDxfId="482"/>
    <tableColumn id="13" xr3:uid="{D0CC2519-4857-A14A-9B81-8466C81AC3AB}" name="Bron 1 - naam/jaar"/>
    <tableColumn id="14" xr3:uid="{4A8F474A-910B-D047-9B86-2C1A837D51E6}" name="Bron 1 - waarde" dataDxfId="481"/>
    <tableColumn id="15" xr3:uid="{6BAA05F4-0C7C-084C-A4A0-BF9A7628BFC7}" name="Bron 1 - type/link"/>
    <tableColumn id="16" xr3:uid="{89B00D04-1C8F-2245-9A7B-8EEAFD8A2D4E}" name="Bron 2 - naam/jaar"/>
    <tableColumn id="17" xr3:uid="{0A1558E1-A8F1-7A4B-9777-F7AC9B08FEEB}" name="Bron 2 - waarde" dataDxfId="480"/>
    <tableColumn id="18" xr3:uid="{2F85456B-72FA-944B-A5D3-45A276946694}" name="Bron 2 - type/link"/>
    <tableColumn id="19" xr3:uid="{64CF3DD8-1DC6-074C-8C16-1D0F6CE3221E}" name="Bron 3 - naam/jaar"/>
    <tableColumn id="20" xr3:uid="{08DF874F-0FFA-D346-A6BC-35F0A8B03499}" name="Bron 3 - waarde" dataDxfId="479"/>
    <tableColumn id="21" xr3:uid="{B39EE910-6A98-5D48-8664-227194DEF7BA}" name="Bron 3 - type/link"/>
    <tableColumn id="10" xr3:uid="{C1A48010-0607-484B-B139-A23BD6CED98B}" name="Actie"/>
    <tableColumn id="11" xr3:uid="{61892C73-A5A4-8844-A890-0BEA76C85898}" name="Eigenaar"/>
    <tableColumn id="12" xr3:uid="{702DD95E-C9AA-3546-8916-1D0A46A81105}" name="Deadlin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5689AB7-0B2A-1C46-A648-3987FF47E75F}" name="ProcesCost2" displayName="ProcesCost2" ref="B347:V362" totalsRowShown="0" headerRowDxfId="478">
  <tableColumns count="21">
    <tableColumn id="1" xr3:uid="{A75082D9-AB09-2A49-96FF-2B3CD9D93AA6}" name="Verwerking - Kosten" dataDxfId="477"/>
    <tableColumn id="2" xr3:uid="{89F5E1AB-FFEB-304D-93FE-CBF5200EEA00}" name="Eenheid" dataDxfId="476"/>
    <tableColumn id="3" xr3:uid="{01AEEC6F-D19F-5F4D-A4F7-EA042D009AD2}" name="Geen" dataCellStyle="Komma"/>
    <tableColumn id="4" xr3:uid="{3F55F5B4-4610-7349-BE59-F600FD9C6A30}" name="Waarde MAX" dataDxfId="475" dataCellStyle="Komma"/>
    <tableColumn id="5" xr3:uid="{81B64D88-2809-DF40-9028-661C57B6B396}" name="Waarde GEM" dataDxfId="474" dataCellStyle="Komma"/>
    <tableColumn id="6" xr3:uid="{C7F9F2B9-29FB-BE41-B290-9085D526AC4B}" name="Waarde MIN" dataDxfId="473" dataCellStyle="Komma"/>
    <tableColumn id="7" xr3:uid="{0693EBD3-A27F-DA41-8AC9-2F8388250D1D}" name="Opmerkingen"/>
    <tableColumn id="8" xr3:uid="{F959D8DA-189D-CB45-A6F9-7AB6FFBAC0CA}" name="Status beschrijving"/>
    <tableColumn id="9" xr3:uid="{579B1F68-6FFE-6443-A2DE-E28735221C1A}" name="Status" dataDxfId="472"/>
    <tableColumn id="13" xr3:uid="{52D88365-A978-FC45-97B9-2CF5E0D2C91C}" name="Bron 1 - naam/jaar"/>
    <tableColumn id="14" xr3:uid="{CA9FC279-AB7A-AE43-A253-2A3CC418A74E}" name="Bron 1 - waarde" dataDxfId="471"/>
    <tableColumn id="15" xr3:uid="{427C966B-27E8-8E4A-8FC2-08D6EBF18B29}" name="Bron 1 - type/link"/>
    <tableColumn id="16" xr3:uid="{1B43A2F2-546A-434C-B644-D3948542E022}" name="Bron 2 - naam/jaar"/>
    <tableColumn id="17" xr3:uid="{D8CCC5DB-8072-B143-B87E-E1A049177044}" name="Bron 2 - waarde" dataDxfId="470"/>
    <tableColumn id="18" xr3:uid="{A96F107B-6DB0-004F-918E-577DDF45867C}" name="Bron 2 - type/link"/>
    <tableColumn id="19" xr3:uid="{B7CB5D2A-7D99-B741-B5DB-800C90ECB62E}" name="Bron 3 - naam/jaar"/>
    <tableColumn id="20" xr3:uid="{8767B46C-840E-3D4E-8B85-BD53B22EEEFD}" name="Bron 3 - waarde" dataDxfId="469"/>
    <tableColumn id="21" xr3:uid="{DB60FEA9-7365-7742-8FDB-6E6345BA8931}" name="Bron 3 - type/link"/>
    <tableColumn id="10" xr3:uid="{ABAC0E0D-CB16-0F4E-9DF0-9A9AEC0FE1E1}" name="Actie"/>
    <tableColumn id="11" xr3:uid="{8D2CCCC3-1A8F-464E-BF31-5E7794D7817A}" name="Eigenaar"/>
    <tableColumn id="12" xr3:uid="{A07C9B3C-D0FD-4D4D-9A7F-D5E4FD7AA08B}" name="Deadline"/>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0C2AB39-ED80-2549-A9BB-FD87FD10117D}" name="ProcesCost21" displayName="ProcesCost21" ref="B364:V379" totalsRowShown="0" headerRowDxfId="468">
  <tableColumns count="21">
    <tableColumn id="1" xr3:uid="{D83399A2-8E37-0E45-80B1-E39E66286295}" name="Verwerking - Producteffciency" dataDxfId="467">
      <calculatedColumnFormula>B348</calculatedColumnFormula>
    </tableColumn>
    <tableColumn id="2" xr3:uid="{292D106F-B693-7049-86A9-0D40A49C08C4}" name="Eenheid" dataDxfId="466"/>
    <tableColumn id="3" xr3:uid="{EC768BD5-0B37-674A-8E6C-592AD0DE6E50}" name="Geen" dataCellStyle="Procent"/>
    <tableColumn id="4" xr3:uid="{A8AEC031-3363-1343-A385-9FF318D30B9F}" name="Waarde MAX" dataDxfId="465" dataCellStyle="Procent"/>
    <tableColumn id="5" xr3:uid="{10F74EA7-4A74-954E-9B12-AC75967D1EF8}" name="Waarde GEM" dataDxfId="464" dataCellStyle="Procent"/>
    <tableColumn id="6" xr3:uid="{9452C855-41FB-EA4B-8D6F-8DD98BDFED23}" name="Waarde MIN" dataDxfId="463" dataCellStyle="Procent"/>
    <tableColumn id="7" xr3:uid="{D21495E1-8FE7-4641-86FB-27E5670B7949}" name="Opmerkingen"/>
    <tableColumn id="8" xr3:uid="{4E06F62F-2BD0-7045-BC2E-36827EA170C8}" name="Status beschrijving"/>
    <tableColumn id="9" xr3:uid="{10DC2D49-3A19-294F-8A4A-29DB29B33541}" name="Status" dataDxfId="462"/>
    <tableColumn id="13" xr3:uid="{E750E093-B6B5-6248-8687-30A60E0FAE14}" name="Bron 1 - naam/jaar"/>
    <tableColumn id="14" xr3:uid="{FDD2BBFA-403A-024D-90CA-BD2E74C0BA7E}" name="Bron 1 - waarde" dataDxfId="461"/>
    <tableColumn id="15" xr3:uid="{292915F7-CF8D-144B-B598-2823D0141C8A}" name="Bron 1 - type/link"/>
    <tableColumn id="16" xr3:uid="{E8BEE356-9F04-7947-B8EE-C3975792E554}" name="Bron 2 - naam/jaar"/>
    <tableColumn id="17" xr3:uid="{64F3B3AC-9954-F74D-AE62-7D51158ED278}" name="Bron 2 - waarde" dataDxfId="460"/>
    <tableColumn id="18" xr3:uid="{6152661C-5190-B145-898A-C951156F7E51}" name="Bron 2 - type/link"/>
    <tableColumn id="19" xr3:uid="{9E66C2F6-0584-1244-908E-9F423E93A943}" name="Bron 3 - naam/jaar"/>
    <tableColumn id="20" xr3:uid="{7B74596F-C56E-8745-8786-8BDA087122AF}" name="Bron 3 - waarde" dataDxfId="459"/>
    <tableColumn id="21" xr3:uid="{106872A7-13FD-DA47-B8BB-215D77FA0276}" name="Bron 3 - type/link"/>
    <tableColumn id="10" xr3:uid="{5EB1FF3C-0FC2-7A4A-8D7C-481B3C3F5207}" name="Actie"/>
    <tableColumn id="11" xr3:uid="{266755CC-B077-2446-B2DF-4882DEF2868D}" name="Eigenaar"/>
    <tableColumn id="12" xr3:uid="{2B3C7254-47BB-F142-8591-8235DD070775}" name="Deadline"/>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B79B07C-D089-B942-8820-D2FE5DE14782}" name="Product0129" displayName="Product0129" ref="B300:V315" totalsRowShown="0" headerRowDxfId="458" dataDxfId="457">
  <tableColumns count="21">
    <tableColumn id="1" xr3:uid="{9F32D05A-EAEF-8E46-BED8-1AB77DAAE1F3}" name="Producten" dataDxfId="456">
      <calculatedColumnFormula>'DATA - Variabelen &amp; waarden'!B281</calculatedColumnFormula>
    </tableColumn>
    <tableColumn id="2" xr3:uid="{D6432B0B-F7C4-104A-BA0B-31BA5DBE7F6C}" name="Eenheid" dataDxfId="455"/>
    <tableColumn id="5" xr3:uid="{7366516F-39F3-2A40-BE4D-332D7605799E}" name="Plantdeel" dataDxfId="454" dataCellStyle="Komma"/>
    <tableColumn id="3" xr3:uid="{C61B8437-7E3E-FE49-8A46-11E1C41745A7}" name="DS-gehalte" dataDxfId="453" dataCellStyle="Procent"/>
    <tableColumn id="4" xr3:uid="{D3B87403-8E61-BC45-9241-B83B48BE6A43}" name="Fractielengte [mm]" dataDxfId="452" dataCellStyle="Komma"/>
    <tableColumn id="6" xr3:uid="{E2AC25F4-D35F-634D-88EE-16843075DE20}" name="Fractiediameter (mm)" dataDxfId="451" dataCellStyle="Komma"/>
    <tableColumn id="7" xr3:uid="{DA9D6984-EC6B-0D48-8BDA-9053AEFDB7D7}" name="Opmerkingen" dataDxfId="450"/>
    <tableColumn id="8" xr3:uid="{748EAEB0-52D9-4F4E-9CF7-D6838F3FE403}" name="Status beschrijving" dataDxfId="449"/>
    <tableColumn id="9" xr3:uid="{D78D3C17-8244-9946-B0CA-C83A099543D2}" name="Status" dataDxfId="448"/>
    <tableColumn id="13" xr3:uid="{25240F49-C220-764B-95B9-C17DED1DB668}" name="Bron 1 - naam/jaar" dataDxfId="447"/>
    <tableColumn id="14" xr3:uid="{C752E0C1-DC0D-4E46-87CF-1EF600A29DDE}" name="Bron 1 - waarde" dataDxfId="446"/>
    <tableColumn id="15" xr3:uid="{87B83853-CC1A-C443-A133-F6DFE8F7878B}" name="Bron 1 - type/link" dataDxfId="445"/>
    <tableColumn id="16" xr3:uid="{03B1DCE8-04E8-A24A-BEDF-E60B3994582A}" name="Bron 2 - naam/jaar" dataDxfId="444"/>
    <tableColumn id="17" xr3:uid="{BCB4F124-058C-9042-8588-027D8CB05328}" name="Bron 2 - waarde" dataDxfId="443"/>
    <tableColumn id="18" xr3:uid="{DCEF9B99-C29E-B140-A776-8E5CB197D627}" name="Bron 2 - type/link" dataDxfId="442"/>
    <tableColumn id="19" xr3:uid="{6A74F339-4E6D-D249-8949-632F3DC91B20}" name="Bron 3 - naam/jaar" dataDxfId="441"/>
    <tableColumn id="20" xr3:uid="{79A4B99A-2AAC-844F-BAC2-F07BE849CCD3}" name="Bron 3 - waarde" dataDxfId="440"/>
    <tableColumn id="21" xr3:uid="{FC1C0097-B229-964E-8162-867285014DB1}" name="Bron 3 - type/link" dataDxfId="439"/>
    <tableColumn id="10" xr3:uid="{EC54D266-9A90-6C47-9951-0E7A2C97BCE3}" name="Actie" dataDxfId="438"/>
    <tableColumn id="11" xr3:uid="{5EFEC69A-E090-9C45-B2D5-60A594F66FD2}" name="Eigenaar" dataDxfId="437"/>
    <tableColumn id="12" xr3:uid="{F987A02F-0F78-6348-A426-61EC929F653A}" name="Deadline" dataDxfId="436"/>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D82F22-A95B-4449-811E-B7527066C4E3}" name="Tabel3" displayName="Tabel3" ref="B388:V394" totalsRowShown="0" headerRowDxfId="435" dataDxfId="434">
  <tableColumns count="21">
    <tableColumn id="1" xr3:uid="{60A74C3D-7356-4646-B76B-84798A34BB32}" name="Overige inkomsten"/>
    <tableColumn id="2" xr3:uid="{788D45A5-69C5-D34F-B8EB-90A5249B4968}" name="Eenheid" dataDxfId="433"/>
    <tableColumn id="3" xr3:uid="{6470DFF1-B291-EB46-A66B-D2A4CCEE59D8}" name="Geen" dataDxfId="432" dataCellStyle="Komma"/>
    <tableColumn id="4" xr3:uid="{761AC0E5-C99A-F44E-BA89-14FCA60BDEF3}" name="Waarde MAX" dataDxfId="431" dataCellStyle="Komma"/>
    <tableColumn id="5" xr3:uid="{6959F173-D88E-A346-BBB0-3A4555DC0980}" name="Waarde GEM" dataDxfId="430" dataCellStyle="Komma"/>
    <tableColumn id="6" xr3:uid="{153FEE54-B25B-A545-BCD7-44EFC76FC11F}" name="Waarde MIN" dataDxfId="429" dataCellStyle="Komma"/>
    <tableColumn id="7" xr3:uid="{25958E91-F765-9D43-8CDA-15E44EC9E1C7}" name="Opmerkingen" dataDxfId="428"/>
    <tableColumn id="8" xr3:uid="{578BD6FC-4014-404C-B0AE-04BF54260518}" name="Status beschrijving" dataDxfId="427"/>
    <tableColumn id="9" xr3:uid="{084B181C-4604-2D41-B836-6976293A1AFE}" name="Status" dataDxfId="426"/>
    <tableColumn id="13" xr3:uid="{5C52BF02-DE20-0146-A6C7-6D26304C9D0B}" name="Bron 1 - naam/jaar" dataDxfId="425"/>
    <tableColumn id="14" xr3:uid="{10080D75-A212-014E-9971-DAC640E7AC4D}" name="Bron 1 - waarde" dataDxfId="424"/>
    <tableColumn id="15" xr3:uid="{B6BBFEFE-E0AE-584C-AE6A-9C57555B16FB}" name="Bron 1 - type/link" dataDxfId="423"/>
    <tableColumn id="16" xr3:uid="{166A5681-2173-5C4E-8955-185D89BDA59A}" name="Bron 2 - naam/jaar" dataDxfId="422"/>
    <tableColumn id="17" xr3:uid="{79A16D5F-D02C-E44E-B481-82C8C10E9070}" name="Bron 2 - waarde" dataDxfId="421"/>
    <tableColumn id="18" xr3:uid="{CB050D26-5916-454D-8851-70C30603778E}" name="Bron 2 - type/link" dataDxfId="420"/>
    <tableColumn id="19" xr3:uid="{3CAE7D5D-8C3E-3E4C-94C8-F954F5C5A0C6}" name="Bron 3 - naam/jaar" dataDxfId="419"/>
    <tableColumn id="20" xr3:uid="{3C488508-1B38-4645-83FD-D650D73306A5}" name="Bron 3 - waarde" dataDxfId="418"/>
    <tableColumn id="21" xr3:uid="{F50D687C-47AC-9140-AE9F-CA41A1426776}" name="Bron 3 - type/link" dataDxfId="417"/>
    <tableColumn id="10" xr3:uid="{9A845088-864E-1C41-AAF4-D3C8996E6AF5}" name="Actie" dataDxfId="416"/>
    <tableColumn id="11" xr3:uid="{98D68114-F050-3148-AB1B-F3D2EA904488}" name="Eigenaar" dataDxfId="415"/>
    <tableColumn id="12" xr3:uid="{FF7E88C5-AFC1-F946-8BC1-2032CE032448}" name="Deadline" dataDxfId="414"/>
  </tableColumns>
  <tableStyleInfo name="TableStyleMedium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D41C5B-E17D-6E4C-982C-743A2188CF93}" name="Tabel36" displayName="Tabel36" ref="B408:V418" totalsRowShown="0" headerRowDxfId="413" dataDxfId="412">
  <tableColumns count="21">
    <tableColumn id="1" xr3:uid="{7E5FBC90-6AFE-8F48-A624-9B1B99A7EB33}" name="Referentie inkomsten - netto bedrijfsresultaten"/>
    <tableColumn id="2" xr3:uid="{A4BC3E7E-12E4-6F4D-B850-0C1525C69C6D}" name="Eenheid" dataDxfId="411"/>
    <tableColumn id="3" xr3:uid="{9AE78A03-464F-4D47-A441-FC05A8259A7F}" name="Geen" dataDxfId="410" dataCellStyle="Komma"/>
    <tableColumn id="4" xr3:uid="{AC93969B-2D7F-7148-9598-D0EA390F02AA}" name="Waarde MAX" dataDxfId="409" dataCellStyle="Komma"/>
    <tableColumn id="5" xr3:uid="{0DBCAA19-9516-8646-AB6B-F0AE193D5B56}" name="Waarde GEM" dataDxfId="408" dataCellStyle="Komma"/>
    <tableColumn id="6" xr3:uid="{F081250A-BC06-9542-90FA-849C6209578F}" name="Waarde MIN" dataDxfId="407" dataCellStyle="Komma"/>
    <tableColumn id="7" xr3:uid="{A268C1F1-0A1D-5547-8754-781466E19775}" name="Opmerkingen" dataDxfId="406"/>
    <tableColumn id="8" xr3:uid="{E30517E4-45DE-EA46-98BC-FACB6E5FF252}" name="Status beschrijving" dataDxfId="405"/>
    <tableColumn id="9" xr3:uid="{A67460EF-A11E-2F47-A9DB-76155005F147}" name="Status" dataDxfId="404"/>
    <tableColumn id="13" xr3:uid="{ECCB338C-4736-A74B-B3D9-A4716233AA16}" name="Bron 1 - naam/jaar" dataDxfId="403"/>
    <tableColumn id="14" xr3:uid="{2F25B21A-A77B-C548-BD21-A9C17D143619}" name="Bron 1 - waarde" dataDxfId="402"/>
    <tableColumn id="15" xr3:uid="{AB5BA9F6-EFE6-3A4C-8E47-327A8C9F9B34}" name="Bron 1 - type/link" dataDxfId="401"/>
    <tableColumn id="16" xr3:uid="{7167427B-F3FF-FE43-A9E3-7DDF693F752F}" name="Bron 2 - naam/jaar" dataDxfId="400"/>
    <tableColumn id="17" xr3:uid="{187A1565-9FBC-6B40-BB89-98E7FB36CDED}" name="Bron 2 - waarde" dataDxfId="399"/>
    <tableColumn id="18" xr3:uid="{01697AE9-A5C2-7E4B-9B51-1B6900397259}" name="Bron 2 - type/link" dataDxfId="398"/>
    <tableColumn id="19" xr3:uid="{54CCA219-9D0D-2E42-8B48-82DFE146DA6D}" name="Bron 3 - naam/jaar" dataDxfId="397"/>
    <tableColumn id="20" xr3:uid="{441076E4-96B7-0841-AA2C-7974244229A5}" name="Bron 3 - waarde" dataDxfId="396"/>
    <tableColumn id="21" xr3:uid="{4FE3E8D2-CD0B-B64F-BEB1-126BF8C34D9C}" name="Bron 3 - type/link" dataDxfId="395"/>
    <tableColumn id="10" xr3:uid="{51ABB6B2-4E92-9741-9B87-DA0DC126B822}" name="Actie" dataDxfId="394"/>
    <tableColumn id="11" xr3:uid="{7995CD93-F0A6-0341-B86B-4896C428DE7B}" name="Eigenaar" dataDxfId="393"/>
    <tableColumn id="12" xr3:uid="{F4F3D110-EF6C-1A42-8750-DA34545F1FF9}" name="Deadline" dataDxfId="392"/>
  </tableColumns>
  <tableStyleInfo name="TableStyleMedium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3063E50-01CA-AE42-BEB9-4664134E4C88}" name="CropType" displayName="CropType" ref="B157:B159" totalsRowShown="0" headerRowDxfId="391" dataDxfId="390">
  <tableColumns count="1">
    <tableColumn id="1" xr3:uid="{A7CB8697-0430-6346-8C49-73724B6C1C8F}" name="Gewastype" dataDxfId="389"/>
  </tableColumns>
  <tableStyleInfo name="TableStyleMedium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F5C70DB-925F-9A44-952E-BCC0BADEC3FC}" name="StockBales" displayName="StockBales" ref="B248:V252" totalsRowShown="0" headerRowDxfId="388">
  <tableColumns count="21">
    <tableColumn id="1" xr3:uid="{6D572BFD-6AD4-F444-8E5C-46576EDEC548}" name="DS inhoud balen "/>
    <tableColumn id="2" xr3:uid="{CADEF449-1EB4-2946-B0B1-845F323CE1A8}" name="Eenheid"/>
    <tableColumn id="3" xr3:uid="{3FFADEE9-BA6F-A149-8250-FA498C933B95}" name="Geen" dataCellStyle="Komma"/>
    <tableColumn id="4" xr3:uid="{BDC128C5-F517-BE47-A80D-DC228ED277C6}" name="Waarde MAX" dataDxfId="387" dataCellStyle="Komma"/>
    <tableColumn id="5" xr3:uid="{2F3D8910-BEA7-D44D-ADEA-60808AC6A22D}" name="Waarde GEM" dataDxfId="386" dataCellStyle="Komma">
      <calculatedColumnFormula>126*1.47</calculatedColumnFormula>
    </tableColumn>
    <tableColumn id="6" xr3:uid="{DFB96093-84FD-D842-85AE-452BFA869C38}" name="Waarde MIN" dataDxfId="385" dataCellStyle="Komma"/>
    <tableColumn id="7" xr3:uid="{A76CCD98-B1D3-0846-B00A-07E1B5B8338E}" name="Opmerkingen"/>
    <tableColumn id="8" xr3:uid="{59E989A6-D9FB-544D-B6EA-E69B37C86555}" name="Status beschrijving"/>
    <tableColumn id="9" xr3:uid="{A2F921DB-F078-8F4E-992E-F3169B285A86}" name="Status" dataDxfId="384"/>
    <tableColumn id="10" xr3:uid="{00961F13-3DD3-674B-B603-E0BC363C5D2B}" name="Bron 1 - naam/jaar"/>
    <tableColumn id="11" xr3:uid="{B9D11C65-2D38-8544-8EBE-6FA6ACA979C5}" name="Bron 1 - waarde" dataDxfId="383"/>
    <tableColumn id="12" xr3:uid="{C6BF2090-3C50-7E42-AB36-247F1E0F356B}" name="Bron 1 - type/link"/>
    <tableColumn id="13" xr3:uid="{1288E2DF-3619-D446-89CC-A2ADC9E94C0A}" name="Bron 2 - naam/jaar"/>
    <tableColumn id="14" xr3:uid="{F8E680B1-B0F1-1C4E-8019-C4ADEA62E81A}" name="Bron 2 - waarde" dataDxfId="382"/>
    <tableColumn id="15" xr3:uid="{6DDD8DD1-4C36-1C49-8F0B-F78D1379AD83}" name="Bron 2 - type/link"/>
    <tableColumn id="16" xr3:uid="{68318AE9-6A23-8C43-B7EB-717FACABDF5B}" name="Bron 3 - naam/jaar"/>
    <tableColumn id="17" xr3:uid="{46294939-2632-CA45-8EAA-1BA8467F9072}" name="Bron 3 - waarde" dataDxfId="381"/>
    <tableColumn id="18" xr3:uid="{D12886E6-C273-5C47-B7D9-926352FA6B3D}" name="Bron 3 - type/link"/>
    <tableColumn id="19" xr3:uid="{94B86A4B-4E14-764E-9849-42828364B207}" name="Actie"/>
    <tableColumn id="20" xr3:uid="{96DED245-ADCC-0447-8440-D4D7C32C852C}" name="Eigenaar"/>
    <tableColumn id="21" xr3:uid="{7C6623BD-D345-D14E-987C-077E989282B4}" name="Deadline"/>
  </tableColumns>
  <tableStyleInfo name="TableStyleMedium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6974763-AEC4-7C45-9B5E-F1F4E3A5962D}" name="StockPluis" displayName="StockPluis" ref="B261:V264" totalsRowShown="0" headerRowDxfId="380">
  <tableColumns count="21">
    <tableColumn id="1" xr3:uid="{A06B6D27-967F-CE4F-8E2C-68689E60A01E}" name="DS inhoud big bag"/>
    <tableColumn id="2" xr3:uid="{44112076-3233-1744-A7E9-D0265CE92A47}" name="Eenheid"/>
    <tableColumn id="3" xr3:uid="{281608ED-7813-5F43-B9C1-0D3F4E9BF3F5}" name="Geen" dataDxfId="379" dataCellStyle="Komma"/>
    <tableColumn id="4" xr3:uid="{B495F847-E552-304C-8381-4AFC9543FA62}" name="Waarde MAX" dataDxfId="378" dataCellStyle="Komma"/>
    <tableColumn id="5" xr3:uid="{44A838DE-D6F8-7C4E-8BF9-91B74080F51C}" name="Waarde GEM" dataDxfId="377" dataCellStyle="Komma"/>
    <tableColumn id="6" xr3:uid="{AFBEDA2B-1554-E44A-A260-E954442A2C44}" name="Waarde MIN" dataDxfId="376" dataCellStyle="Komma"/>
    <tableColumn id="7" xr3:uid="{208CFF19-29B5-F64A-B348-38868EA69941}" name="Opmerkingen"/>
    <tableColumn id="8" xr3:uid="{7E02A44A-F60D-3F41-B8C5-CC3AD30C4141}" name="Status beschrijving" dataDxfId="375"/>
    <tableColumn id="9" xr3:uid="{C09C3211-6779-6345-93B8-35A075208F0B}" name="Status" dataDxfId="374"/>
    <tableColumn id="10" xr3:uid="{0364CB1E-EA34-894D-9896-8EFEDB1B6B29}" name="Bron 1 - naam/jaar" dataDxfId="373"/>
    <tableColumn id="11" xr3:uid="{F5C7AB43-347B-5C4C-8C47-454A89902860}" name="Bron 1 - waarde" dataDxfId="372"/>
    <tableColumn id="12" xr3:uid="{BB151EBC-E048-594D-9B4D-A68966A20769}" name="Bron 1 - type/link"/>
    <tableColumn id="13" xr3:uid="{97CC9406-4CA6-3A43-AC09-E7ACBAB2D746}" name="Bron 2 - naam/jaar"/>
    <tableColumn id="14" xr3:uid="{DDF71CDA-6A6A-A240-B90E-08EED1DC9342}" name="Bron 2 - waarde" dataDxfId="371"/>
    <tableColumn id="15" xr3:uid="{18AA6B34-87F3-7347-8F72-FFB26248E2F5}" name="Bron 2 - type/link"/>
    <tableColumn id="16" xr3:uid="{90C25641-78D8-EC43-A161-E8FA22F69942}" name="Bron 3 - naam/jaar"/>
    <tableColumn id="17" xr3:uid="{557B2133-0154-CF4A-8E06-238BA8B2A480}" name="Bron 3 - waarde" dataDxfId="370"/>
    <tableColumn id="18" xr3:uid="{33FFB940-FA0D-0C42-81F9-A65A9EB36C4F}" name="Bron 3 - type/link"/>
    <tableColumn id="19" xr3:uid="{919E8176-1433-944F-830A-02CDD541B5B3}" name="Actie"/>
    <tableColumn id="20" xr3:uid="{4393B282-7DAD-734D-8ABE-D0F1F12B5D62}" name="Eigenaar"/>
    <tableColumn id="21" xr3:uid="{B1F18A6B-0197-2944-B750-D44B16A1C2FA}" name="Deadline"/>
  </tableColumns>
  <tableStyleInfo name="TableStyleMedium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DD2F7F8-FC4B-0641-9C51-CE1E88367400}" name="VoorDroog" displayName="VoorDroog" ref="B273:V275" totalsRowShown="0" headerRowDxfId="369">
  <tableColumns count="21">
    <tableColumn id="1" xr3:uid="{172FB5E5-8358-474D-8693-C44087DDB042}" name="Voordrogen" dataDxfId="368"/>
    <tableColumn id="2" xr3:uid="{D57E73E4-4C5D-7648-B504-99E59AC4FAF0}" name="Eenheid" dataDxfId="367"/>
    <tableColumn id="3" xr3:uid="{86783B93-A8DF-6147-8C2E-43BAE18839AF}" name="Geen" dataDxfId="366" dataCellStyle="Komma"/>
    <tableColumn id="4" xr3:uid="{7A76B6E0-5E8F-D043-85BF-E87659C45FE7}" name="Waarde MAX" dataDxfId="365" dataCellStyle="Procent"/>
    <tableColumn id="5" xr3:uid="{6A309F30-DD2F-9344-802E-EA7E1C24DF4B}" name="Waarde GEM" dataDxfId="364" dataCellStyle="Procent"/>
    <tableColumn id="6" xr3:uid="{C798069C-6635-F643-9ECE-216661031A50}" name="Waarde MIN" dataDxfId="363" dataCellStyle="Procent"/>
    <tableColumn id="7" xr3:uid="{533B9BF2-BE16-2F4B-B8EE-0CE1E0771114}" name="Opmerkingen"/>
    <tableColumn id="8" xr3:uid="{CE3D7787-3B00-394B-89EA-7CEC32D98B61}" name="Status beschrijving"/>
    <tableColumn id="9" xr3:uid="{E22E9E70-31EA-CB4C-A0BC-0BDDAE1FF305}" name="Status" dataDxfId="362"/>
    <tableColumn id="10" xr3:uid="{D332E38F-16CC-3448-9172-230020749FDE}" name="Bron 1 - naam/jaar"/>
    <tableColumn id="11" xr3:uid="{58CA0BB9-33CA-3E40-BC18-E0C05B375B39}" name="Bron 1 - waarde" dataDxfId="361"/>
    <tableColumn id="12" xr3:uid="{7831B7B3-925A-EB4E-823F-CCF90F6595FB}" name="Bron 1 - type/link"/>
    <tableColumn id="13" xr3:uid="{E383B758-CC38-8449-9C6F-9D73D1B89DB8}" name="Bron 2 - naam/jaar"/>
    <tableColumn id="14" xr3:uid="{B15CC4F3-3A24-5240-B1E8-3141C5AD1540}" name="Bron 2 - waarde" dataDxfId="360"/>
    <tableColumn id="15" xr3:uid="{3AE78587-1D75-BB40-91AE-58D9119F3C73}" name="Bron 2 - type/link"/>
    <tableColumn id="16" xr3:uid="{B997DE9B-4CC3-D04F-BB36-A992945A53CC}" name="Bron 3 - naam/jaar"/>
    <tableColumn id="17" xr3:uid="{45D1F7E8-5D9B-214C-8413-68AF537D2D6B}" name="Bron 3 - waarde" dataDxfId="359"/>
    <tableColumn id="18" xr3:uid="{C2A4B225-B7FB-0A49-A34E-57D05F92EF9D}" name="Bron 3 - type/link"/>
    <tableColumn id="19" xr3:uid="{F51B6135-D20A-5743-9ECA-8B766D19C8F2}" name="Actie"/>
    <tableColumn id="20" xr3:uid="{9AED2F58-6387-4440-8C93-252A39328A13}" name="Eigenaar"/>
    <tableColumn id="21" xr3:uid="{D6C92BEF-79A0-4448-B807-7775EB5B9DF5}" name="Deadline"/>
  </tableColumns>
  <tableStyleInfo name="TableStyleMedium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DF6F3CD-AD5D-F749-9EA8-4F0213083A63}" name="Tabel32" displayName="Tabel32" ref="B325:B327" totalsRowShown="0">
  <tableColumns count="1">
    <tableColumn id="1" xr3:uid="{67122B0B-D16E-174A-B052-5B2BB4549C3F}" name="Keuze droogstap"/>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1E6C545-604D-394F-BDA9-8E5C9745ABCB}" name="PachtPrijs" displayName="PachtPrijs" ref="B61:V75" totalsRowShown="0" headerRowDxfId="358">
  <tableColumns count="21">
    <tableColumn id="1" xr3:uid="{2D4023A9-ECA3-BA46-AD43-22A08097D709}" name="Pachtprijs - per regio" dataDxfId="357">
      <calculatedColumnFormula>B23</calculatedColumnFormula>
    </tableColumn>
    <tableColumn id="2" xr3:uid="{2680948B-027C-944D-95FC-7A5B7FE645FE}" name="Eenheid" dataDxfId="356"/>
    <tableColumn id="4" xr3:uid="{E0F9DC1D-F4A6-3241-9475-FCE689A85C28}" name="Regionorm 2020" dataDxfId="355" dataCellStyle="Komma"/>
    <tableColumn id="3" xr3:uid="{DA40A69D-9819-5742-8FAD-9C8923D6BB0F}" name="Kolom1" dataDxfId="354" dataCellStyle="Komma"/>
    <tableColumn id="5" xr3:uid="{5F2F095A-E356-4048-B2FC-5241C64E165C}" name="Kolom2" dataDxfId="353" dataCellStyle="Komma"/>
    <tableColumn id="6" xr3:uid="{B8798B9B-5F6A-3B47-B906-7DD5CF2C3C8F}" name="Kolom3" dataDxfId="352" dataCellStyle="Komma"/>
    <tableColumn id="7" xr3:uid="{078F1B80-6BDD-F640-9791-6DA8DCD4601F}" name="Opmerkingen"/>
    <tableColumn id="8" xr3:uid="{906C9936-D3C9-C546-83F7-338B07748790}" name="Status beschrijving"/>
    <tableColumn id="9" xr3:uid="{C0EC6C69-8461-684D-B049-A09A639FF870}" name="Status" dataDxfId="351"/>
    <tableColumn id="10" xr3:uid="{3BB256CC-D5B1-754F-949F-131AFA9EFA2B}" name="Bron 1 - naam/jaar"/>
    <tableColumn id="11" xr3:uid="{88D82BF8-5F57-B046-9A64-70A2CF2203FA}" name="Bron 1 - waarde" dataDxfId="350" dataCellStyle="Komma"/>
    <tableColumn id="12" xr3:uid="{1DDCD3CD-6F65-4245-88F3-0D5B13021751}" name="Bron 1 - type/link"/>
    <tableColumn id="13" xr3:uid="{3D46DA92-0850-444C-975A-818ABD98B4D6}" name="Bron 2 - naam/jaar"/>
    <tableColumn id="14" xr3:uid="{75F202B5-57A8-AC4C-891F-015293D5A078}" name="Bron 2 - waarde" dataDxfId="349"/>
    <tableColumn id="15" xr3:uid="{F03B5AAD-65B4-FF40-A30E-B3CF1F3C41B2}" name="Bron 2 - type/link"/>
    <tableColumn id="16" xr3:uid="{0E39ACC3-FAE1-B94B-91B0-C417769B1EE7}" name="Bron 3 - naam/jaar"/>
    <tableColumn id="17" xr3:uid="{91C43FB0-F374-224F-A2B6-26462203447E}" name="Bron 3 - waarde" dataDxfId="348"/>
    <tableColumn id="18" xr3:uid="{19E71A8A-BE46-6241-8783-8FC0A6210060}" name="Bron 3 - type/link"/>
    <tableColumn id="19" xr3:uid="{D48C6E4B-6401-584F-9E8F-AB05C7D4C17E}" name="Actie"/>
    <tableColumn id="20" xr3:uid="{6CA4E9BA-1A1A-9D4C-AFFD-EF60C243C8DA}" name="Eigenaar"/>
    <tableColumn id="21" xr3:uid="{BFA016D2-4E61-4044-9528-A7FDD56E7E59}" name="Deadline"/>
  </tableColumns>
  <tableStyleInfo name="TableStyleMedium7"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288DA2C-370F-7749-A7C2-D47265E8773E}" name="CO2Emissie01" displayName="CO2Emissie01" ref="B22:V36" totalsRowShown="0" headerRowDxfId="347">
  <tableColumns count="21">
    <tableColumn id="1" xr3:uid="{33043E09-467D-8244-A9AD-EA3BEFDD9D17}" name="CO2-emissie - per regio" dataDxfId="346">
      <calculatedColumnFormula>B7</calculatedColumnFormula>
    </tableColumn>
    <tableColumn id="2" xr3:uid="{67C6120F-AD5F-AC4C-85AF-2C864EA41940}" name="Eenheid" dataDxfId="345"/>
    <tableColumn id="4" xr3:uid="{C839BE27-2533-814E-BB7C-B84BB74EB28E}" name="Geen" dataDxfId="344" dataCellStyle="Komma"/>
    <tableColumn id="3" xr3:uid="{806C406E-F40E-9648-A1B2-A122DC555329}" name="CO2 Emissie - bestaande situatie" dataDxfId="343" dataCellStyle="Komma"/>
    <tableColumn id="5" xr3:uid="{62E2E8C9-0822-9541-A48C-DC0BB64008D7}" name="CO2 Emissie - toekomstige situatie" dataDxfId="342" dataCellStyle="Komma"/>
    <tableColumn id="6" xr3:uid="{C827A1C1-45DA-9743-98B1-8A8920AC38F0}" name="CO2 reductie " dataDxfId="341" dataCellStyle="Komma">
      <calculatedColumnFormula>E23-F23</calculatedColumnFormula>
    </tableColumn>
    <tableColumn id="7" xr3:uid="{3AD54065-19B3-E846-9D23-F47F6F423EF5}" name="Opmerkingen"/>
    <tableColumn id="8" xr3:uid="{C4B5036A-4896-A44A-8495-A6182B214D7F}" name="Status beschrijving" dataDxfId="340"/>
    <tableColumn id="9" xr3:uid="{BC521E1E-4FDF-2D44-BB09-0CB365F89543}" name="Status" dataDxfId="339"/>
    <tableColumn id="10" xr3:uid="{1EE6ECA9-884E-234F-BDE3-BAD1590ABDCB}" name="Bron 1 - naam/jaar" dataDxfId="338"/>
    <tableColumn id="11" xr3:uid="{8DECA7DD-F3CA-C745-8084-B238E36D9C39}" name="Bron 1 - waarde" dataDxfId="337"/>
    <tableColumn id="12" xr3:uid="{3EA6D9CF-D043-244B-A0BC-9BC6CA828209}" name="Bron 1 - type/link"/>
    <tableColumn id="13" xr3:uid="{6270A9B6-B849-DE49-A1D8-4DAC1F61F828}" name="Bron 2 - naam/jaar"/>
    <tableColumn id="14" xr3:uid="{B4D14DC0-BC63-7A4F-B4C9-53F72D6A0773}" name="Bron 2 - waarde" dataDxfId="336"/>
    <tableColumn id="15" xr3:uid="{48A2EA9D-6DCA-7D48-BE8D-D35BD43A4905}" name="Bron 2 - type/link"/>
    <tableColumn id="16" xr3:uid="{1EBC56BD-A86C-DD46-A0C3-9D0441FC52E7}" name="Bron 3 - naam/jaar"/>
    <tableColumn id="17" xr3:uid="{9AEB05D0-C5FF-DD4C-A62D-4748E9C63C8D}" name="Bron 3 - waarde" dataDxfId="335"/>
    <tableColumn id="18" xr3:uid="{CBA9D0FA-844F-EA4E-961A-B389795D0A0C}" name="Bron 3 - type/link"/>
    <tableColumn id="19" xr3:uid="{054028F7-4F07-D943-9FBD-6B93EDB1BDAD}" name="Actie"/>
    <tableColumn id="20" xr3:uid="{D298A1E0-D582-E048-B413-62A8FC99E7C6}" name="Eigenaar"/>
    <tableColumn id="21" xr3:uid="{83B9F4C6-E6B6-4247-A993-18E4A4924177}" name="Deadline"/>
  </tableColumns>
  <tableStyleInfo name="TableStyleMedium7"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CE94F44-4E21-4149-B4CF-EB44B5A05F28}" name="Tabel37" displayName="Tabel37" ref="B381:V383" totalsRowShown="0" headerRowDxfId="334">
  <tableColumns count="21">
    <tableColumn id="1" xr3:uid="{BC60C7E8-86AD-0741-AF3E-DFD1D54D2F37}" name="Kosten verwerking reststroom" dataDxfId="333"/>
    <tableColumn id="2" xr3:uid="{5D22D7D4-5D72-F342-A10F-AB646B8CAA6A}" name="Eenheid" dataDxfId="332"/>
    <tableColumn id="3" xr3:uid="{4855FDC1-68F3-8A43-B229-C64458DF4210}" name="Geen" dataDxfId="331" dataCellStyle="Procent"/>
    <tableColumn id="4" xr3:uid="{56D04ABE-157C-4340-B423-C1934645B239}" name="Waarde MAX" dataDxfId="330" dataCellStyle="Komma"/>
    <tableColumn id="5" xr3:uid="{F7B31D90-58B8-D34A-8F6C-FCCBC64D0A14}" name="Waarde GEM" dataDxfId="329" dataCellStyle="Komma"/>
    <tableColumn id="6" xr3:uid="{F91C73C6-B759-FB45-BAEE-85EC6C882D83}" name="Waarde MIN" dataDxfId="328" dataCellStyle="Komma"/>
    <tableColumn id="7" xr3:uid="{A516A664-5DA5-084B-AB08-105C4E26EB0C}" name="Opmerkingen"/>
    <tableColumn id="8" xr3:uid="{D2A86823-47F9-5646-B8DC-906DB00921F1}" name="Status beschrijving"/>
    <tableColumn id="9" xr3:uid="{F5DF426A-EAEC-EA4A-BB33-2081C3672C20}" name="Status" dataDxfId="327"/>
    <tableColumn id="10" xr3:uid="{13922B27-1B3F-6445-B757-095BEA783A10}" name="Bron 1 - naam/jaar"/>
    <tableColumn id="11" xr3:uid="{138195DD-E90E-0B43-9EF7-6B0DF557294F}" name="Bron 1 - waarde" dataDxfId="326"/>
    <tableColumn id="12" xr3:uid="{BABBF420-8FEF-6A43-9730-2FD0E3A0A808}" name="Bron 1 - type/link"/>
    <tableColumn id="13" xr3:uid="{0C9F708E-72D9-9944-99D2-7C487E993FD3}" name="Bron 2 - naam/jaar"/>
    <tableColumn id="14" xr3:uid="{AF9E8BF7-9B64-8B40-89A9-434C18A44CCA}" name="Bron 2 - waarde" dataDxfId="325"/>
    <tableColumn id="15" xr3:uid="{B89F2454-B8EE-B049-AFA2-946F1B569931}" name="Bron 2 - type/link"/>
    <tableColumn id="16" xr3:uid="{4E844182-19C2-2741-AB27-BE0D8640CF28}" name="Bron 3 - naam/jaar"/>
    <tableColumn id="17" xr3:uid="{1D4CC103-C651-264C-A6F0-40EB835A21FB}" name="Bron 3 - waarde" dataDxfId="324"/>
    <tableColumn id="18" xr3:uid="{9070B588-2752-0541-829A-91F2589AE721}" name="Bron 3 - type/link"/>
    <tableColumn id="19" xr3:uid="{D2EA5415-2E0B-6549-85CB-745BCDE4960B}" name="Actie"/>
    <tableColumn id="20" xr3:uid="{AB5C73C7-BE1B-0347-8BF6-443D88D6D1EC}" name="Eigenaar"/>
    <tableColumn id="21" xr3:uid="{60B56C40-A2FB-9842-9C47-4F9865FD3C34}" name="Deadline"/>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8CCC4B0-1FAA-8D4F-959C-6567B610A71A}" name="CO2Calculation" displayName="CO2Calculation" ref="B38:V42" totalsRowShown="0" headerRowDxfId="323">
  <tableColumns count="21">
    <tableColumn id="1" xr3:uid="{3E1068C1-D7F5-AB42-9915-167F58061180}" name="CO2 emissie per hectare - formules" dataDxfId="322">
      <calculatedColumnFormula>B28</calculatedColumnFormula>
    </tableColumn>
    <tableColumn id="2" xr3:uid="{10DB75C2-7105-1149-86D6-E0807819CD59}" name="Eenheid" dataDxfId="321"/>
    <tableColumn id="4" xr3:uid="{0A5636AC-CC55-F54D-874F-866E6AB2CEB0}" name="Kolom1" dataDxfId="320" dataCellStyle="Komma"/>
    <tableColumn id="3" xr3:uid="{50E9452E-DBD9-1B4E-AE49-D140D898F870}" name="Kolom2" dataDxfId="319" dataCellStyle="Komma"/>
    <tableColumn id="5" xr3:uid="{15515CF5-E8AC-114B-A3AA-34293B85942D}" name="Richtingscoëfficiënt" dataDxfId="318" dataCellStyle="Komma"/>
    <tableColumn id="6" xr3:uid="{6BEA664C-FF4A-F24C-AF6D-FE930F8FE9DB}" name="Start" dataDxfId="317" dataCellStyle="Komma"/>
    <tableColumn id="7" xr3:uid="{1E204482-3569-A74F-8E20-C47D3F46E027}" name="Opmerkingen"/>
    <tableColumn id="8" xr3:uid="{0864908B-8748-6846-BC09-CB92D1EDDB6B}" name="Status beschrijving"/>
    <tableColumn id="9" xr3:uid="{EDBD9D8F-095C-9147-9A60-E70856E31777}" name="Status" dataDxfId="316"/>
    <tableColumn id="10" xr3:uid="{307F6AE8-CB1B-C443-8262-D4A64B25AEE6}" name="Bron 1 - naam/jaar"/>
    <tableColumn id="11" xr3:uid="{B94B9BA0-BBAF-CF44-97F2-0010DD97F833}" name="Bron 1 - waarde" dataDxfId="315"/>
    <tableColumn id="12" xr3:uid="{27325B29-9232-F245-A747-67633D53A543}" name="Bron 1 - type/link"/>
    <tableColumn id="13" xr3:uid="{E7086D3C-1D13-614D-B1DE-AACE7D075F92}" name="Bron 2 - naam/jaar"/>
    <tableColumn id="14" xr3:uid="{D22B6CB3-7642-B340-895D-B38895E0D106}" name="Bron 2 - waarde" dataDxfId="314"/>
    <tableColumn id="15" xr3:uid="{94A2EACD-13E1-E74D-B632-D751EE3688C1}" name="Bron 2 - type/link"/>
    <tableColumn id="16" xr3:uid="{3B55ADA4-0874-A64B-975F-9C3D8601890E}" name="Bron 3 - naam/jaar"/>
    <tableColumn id="17" xr3:uid="{32F53A35-A5F9-5C4C-AECA-2041C5164771}" name="Bron 3 - waarde" dataDxfId="313"/>
    <tableColumn id="18" xr3:uid="{B1C78288-8E15-3449-858D-CBE1B1784920}" name="Bron 3 - type/link"/>
    <tableColumn id="19" xr3:uid="{ED432DB6-084A-5D4E-B48C-6B041968022E}" name="Actie"/>
    <tableColumn id="20" xr3:uid="{3C6FAA43-428B-3F44-93E8-28CF4316227B}" name="Eigenaar"/>
    <tableColumn id="21" xr3:uid="{62E86255-D7C5-174F-B3A9-88B0CD480758}" name="Deadline"/>
  </tableColumns>
  <tableStyleInfo name="TableStyleMedium7"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414776C-BC94-9745-89CE-FEC1F7B235DA}" name="NO2Calculation" displayName="NO2Calculation" ref="B44:V48" totalsRowShown="0" headerRowDxfId="312">
  <tableColumns count="21">
    <tableColumn id="1" xr3:uid="{24810AAE-6BBD-8C47-9E90-6F6228490521}" name="NO2 emissie per hectare - formules" dataDxfId="311">
      <calculatedColumnFormula>B39</calculatedColumnFormula>
    </tableColumn>
    <tableColumn id="2" xr3:uid="{92D5073C-E8BE-D74E-8506-E92011BD4FC9}" name="Eenheid" dataDxfId="310"/>
    <tableColumn id="4" xr3:uid="{3A0D6A5B-44E0-814C-9E2D-33995571192F}" name="Kolom1" dataDxfId="309" dataCellStyle="Komma"/>
    <tableColumn id="3" xr3:uid="{02054D24-D8C1-5846-928A-060F069955E1}" name="Richtingscoëfficiënt" dataDxfId="308" dataCellStyle="Komma"/>
    <tableColumn id="5" xr3:uid="{59C3519D-D4F2-5546-8382-67FA4EAB872D}" name="Verschuiving" dataDxfId="307" dataCellStyle="Komma"/>
    <tableColumn id="6" xr3:uid="{A1749C45-C0E3-8C43-8498-FD2061A2F158}" name="Start" dataDxfId="306" dataCellStyle="Komma"/>
    <tableColumn id="7" xr3:uid="{2A65511D-77F0-604E-910E-467F9D940DB9}" name="Opmerkingen"/>
    <tableColumn id="8" xr3:uid="{C8F20D87-1738-F246-AA27-D34192D4AD03}" name="Status beschrijving"/>
    <tableColumn id="9" xr3:uid="{C889D9C2-B92B-524B-98C1-D1F410742B9C}" name="Status" dataDxfId="305"/>
    <tableColumn id="10" xr3:uid="{4AF61F5C-AE5A-AC45-93EC-68DB0C33EC30}" name="Bron 1 - naam/jaar" dataDxfId="304"/>
    <tableColumn id="11" xr3:uid="{14BF1AAC-9B41-C84A-BFB7-F5598672DEAF}" name="Bron 1 - waarde" dataDxfId="303"/>
    <tableColumn id="12" xr3:uid="{2F1D23F9-6AAA-2E47-8791-5358F3FA8CB8}" name="Bron 1 - type/link"/>
    <tableColumn id="13" xr3:uid="{BF2BBD81-95AD-1E43-AC69-66A0D798464E}" name="Bron 2 - naam/jaar"/>
    <tableColumn id="14" xr3:uid="{F80A7226-F4E7-B449-A388-1BDEB6BF0EA5}" name="Bron 2 - waarde" dataDxfId="302"/>
    <tableColumn id="15" xr3:uid="{626AB326-BE50-3F43-9455-04A61F2471D2}" name="Bron 2 - type/link"/>
    <tableColumn id="16" xr3:uid="{92862550-3172-8749-95DF-326A5C62790F}" name="Bron 3 - naam/jaar"/>
    <tableColumn id="17" xr3:uid="{F8483A0E-A37E-3A46-A014-1EC0A13B5BB7}" name="Bron 3 - waarde" dataDxfId="301"/>
    <tableColumn id="18" xr3:uid="{81207443-8739-1E4C-8105-979AB48153E4}" name="Bron 3 - type/link"/>
    <tableColumn id="19" xr3:uid="{87CD506E-73E7-D542-8440-E192BBDBB15B}" name="Actie"/>
    <tableColumn id="20" xr3:uid="{FFC715D4-BA63-884B-873C-517C1E71AB28}" name="Eigenaar"/>
    <tableColumn id="21" xr3:uid="{E3C0E25C-14B0-1240-812E-5469915A6966}" name="Deadline"/>
  </tableColumns>
  <tableStyleInfo name="TableStyleMedium7"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51C4DBC-672B-A84E-A106-2561A32C7FAF}" name="Tabel40" displayName="Tabel40" ref="B396:V397" totalsRowShown="0" headerRowDxfId="300" dataDxfId="299">
  <tableColumns count="21">
    <tableColumn id="1" xr3:uid="{DFC6C3C3-B981-DB4E-A851-B19DE5ED23CB}" name="Inkomsten CO2 certifcaten"/>
    <tableColumn id="2" xr3:uid="{28867728-489A-3347-8967-A674F5B4AC88}" name="Eenheid" dataDxfId="298"/>
    <tableColumn id="3" xr3:uid="{8C536D6D-E0C4-DB49-BAA5-7894FFEE6261}" name="Geen" dataDxfId="297" dataCellStyle="Komma"/>
    <tableColumn id="4" xr3:uid="{08D54009-A05A-B742-B280-E4B00A6DBD21}" name="Waarde MAX" dataDxfId="296" dataCellStyle="Komma"/>
    <tableColumn id="5" xr3:uid="{936854E7-525D-774D-BCDE-A52CA3855BB9}" name="Waarde GEM" dataDxfId="295" dataCellStyle="Komma"/>
    <tableColumn id="6" xr3:uid="{B98BA0CB-CC76-1142-8EB8-BF62C863476F}" name="Waarde MIN" dataDxfId="294" dataCellStyle="Komma"/>
    <tableColumn id="7" xr3:uid="{CFB44205-12ED-4E44-B971-4DF6822D79C7}" name="Opmerkingen" dataDxfId="293"/>
    <tableColumn id="8" xr3:uid="{7B220347-5D97-814F-AAD5-08158798AFAD}" name="Status beschrijving" dataDxfId="292"/>
    <tableColumn id="9" xr3:uid="{3ED0644C-17DC-8F47-BBDB-56C88371D446}" name="Status" dataDxfId="291"/>
    <tableColumn id="10" xr3:uid="{6670B188-E8E6-BE4D-97F6-E59AE1E53D85}" name="Bron 1 - naam/jaar" dataDxfId="290"/>
    <tableColumn id="11" xr3:uid="{202FBBCA-49EE-014E-9D3B-C506FF12BCD7}" name="Bron 1 - waarde" dataDxfId="289"/>
    <tableColumn id="12" xr3:uid="{EBDFB5AA-621B-1545-AAC4-D98B65194BA6}" name="Bron 1 - type/link" dataDxfId="288"/>
    <tableColumn id="13" xr3:uid="{F45F987B-07B0-B242-8C2B-1B8129AF1710}" name="Bron 2 - naam/jaar" dataDxfId="287"/>
    <tableColumn id="14" xr3:uid="{25D43B12-CCAF-1042-95F3-2744A98D8BE2}" name="Bron 2 - waarde" dataDxfId="286"/>
    <tableColumn id="15" xr3:uid="{7E8C4FE1-ED3E-114E-A106-491F01D45E38}" name="Bron 2 - type/link" dataDxfId="285"/>
    <tableColumn id="16" xr3:uid="{8D969A61-1DDF-9742-851D-104BE3F37648}" name="Bron 3 - naam/jaar" dataDxfId="284"/>
    <tableColumn id="17" xr3:uid="{CCF5ECA4-0E6E-4545-A450-C88D402A8EC1}" name="Bron 3 - waarde" dataDxfId="283"/>
    <tableColumn id="18" xr3:uid="{901077E9-8BFD-E341-B324-5360EB978298}" name="Bron 3 - type/link" dataDxfId="282"/>
    <tableColumn id="19" xr3:uid="{61FCE8E5-C644-7A41-9B07-1964BE02ACEA}" name="Actie" dataDxfId="281"/>
    <tableColumn id="20" xr3:uid="{61BC7252-EDF4-F04E-A11C-7AEE85B80512}" name="Eigenaar" dataDxfId="280"/>
    <tableColumn id="21" xr3:uid="{E21827B5-DBE2-0F4A-A461-F80A1F4495E9}" name="Deadline" dataDxfId="279"/>
  </tableColumns>
  <tableStyleInfo name="TableStyleMedium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F4C31E5E-4569-AA4C-B59A-494D31C1F08B}" name="Tabel41" displayName="Tabel41" ref="B399:V403" totalsRowShown="0" headerRowDxfId="278" dataDxfId="277">
  <tableColumns count="21">
    <tableColumn id="1" xr3:uid="{25F6CBA8-89F3-AA4F-B818-D975DD8A2407}" name="Inkomsten GLB"/>
    <tableColumn id="2" xr3:uid="{2695F858-C347-794C-BF64-3F824773AB48}" name="Eenheid" dataDxfId="276"/>
    <tableColumn id="3" xr3:uid="{8E964934-F886-C94D-B597-7BB61A633F82}" name="Geen" dataDxfId="275" dataCellStyle="Komma"/>
    <tableColumn id="4" xr3:uid="{3CC7410A-2E25-0D4C-8FCF-28B5086259FA}" name="Waarde MAX" dataDxfId="274" dataCellStyle="Komma"/>
    <tableColumn id="5" xr3:uid="{7E51E5E8-1D55-9549-9A7A-71D01D3FAA70}" name="Waarde GEM" dataDxfId="273" dataCellStyle="Komma"/>
    <tableColumn id="6" xr3:uid="{42B2F452-CA05-6A42-B368-B2F0561CA209}" name="Waarde MIN" dataDxfId="272" dataCellStyle="Komma"/>
    <tableColumn id="7" xr3:uid="{ACF345F5-27AA-CB43-AA6A-13ED75A0A7AF}" name="Opmerkingen" dataDxfId="271"/>
    <tableColumn id="8" xr3:uid="{A09557E5-42D4-BA4F-BF12-84B699F41E87}" name="Status beschrijving" dataDxfId="270"/>
    <tableColumn id="9" xr3:uid="{DB30366E-DD81-1941-8B7E-B21D0DEDB02A}" name="Status" dataDxfId="269"/>
    <tableColumn id="10" xr3:uid="{2CDF7E32-A24A-904F-A50C-F13ED922BF9A}" name="Bron 1 - naam/jaar" dataDxfId="268"/>
    <tableColumn id="11" xr3:uid="{94FF7DC0-890D-3B49-81BA-D30CE5280E84}" name="Bron 1 - waarde" dataDxfId="267"/>
    <tableColumn id="12" xr3:uid="{B2136F1D-BA14-DC46-9DED-E5B4FEEC1687}" name="Bron 1 - type/link" dataDxfId="266"/>
    <tableColumn id="13" xr3:uid="{7B9BF1CF-69EF-3143-8C5C-0964B147932A}" name="Bron 2 - naam/jaar" dataDxfId="265"/>
    <tableColumn id="14" xr3:uid="{E427ECE5-BAF8-574F-AEE1-550F61792DA9}" name="Bron 2 - waarde" dataDxfId="264"/>
    <tableColumn id="15" xr3:uid="{8DF3FCBD-7C8E-E145-BC11-C0FD571D134F}" name="Bron 2 - type/link" dataDxfId="263"/>
    <tableColumn id="16" xr3:uid="{E3B9FD3A-EC14-DB44-8623-C77467FC9C12}" name="Bron 3 - naam/jaar" dataDxfId="262"/>
    <tableColumn id="17" xr3:uid="{213C11F4-8525-344C-B2FC-BC3D06FAB7C6}" name="Bron 3 - waarde" dataDxfId="261"/>
    <tableColumn id="18" xr3:uid="{D66C27A9-A25E-3241-93B0-A0C3A2CF508F}" name="Bron 3 - type/link" dataDxfId="260"/>
    <tableColumn id="19" xr3:uid="{81200F19-EFE7-864F-B4B0-322FE700ECC8}" name="Actie" dataDxfId="259"/>
    <tableColumn id="20" xr3:uid="{076EDC2D-D15D-7741-BB09-CFA0947812F3}" name="Eigenaar" dataDxfId="258"/>
    <tableColumn id="21" xr3:uid="{DBCEAC63-B85A-9141-B55D-3851A23886B1}" name="Deadline" dataDxfId="257"/>
  </tableColumns>
  <tableStyleInfo name="TableStyleMedium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9F72A61-03E8-3241-A9B5-1118C0D9314C}" name="Tabel42" displayName="Tabel42" ref="B420:V421" totalsRowShown="0" headerRowDxfId="256" dataDxfId="255">
  <tableColumns count="21">
    <tableColumn id="1" xr3:uid="{CB091DA8-DE45-F545-8A18-F8EF9378A9F6}" name="Minimaal inkomen (netto bedrijfsresultaat)"/>
    <tableColumn id="2" xr3:uid="{C28440F5-829F-E14B-8FCE-F7D4A8348322}" name="Eenheid" dataDxfId="254"/>
    <tableColumn id="3" xr3:uid="{D2DDC746-ACAE-134E-932D-2E2DDB6A79C7}" name="Geen" dataDxfId="253" dataCellStyle="Komma"/>
    <tableColumn id="4" xr3:uid="{B663A5CB-E337-3749-AE1E-10D01B5E7DF3}" name="Waarde MAX" dataDxfId="252" dataCellStyle="Komma">
      <calculatedColumnFormula>1.15*F421</calculatedColumnFormula>
    </tableColumn>
    <tableColumn id="5" xr3:uid="{FDDD6C4C-B75E-0F43-A848-D978EE62641A}" name="Waarde GEM" dataDxfId="251" dataCellStyle="Komma">
      <calculatedColumnFormula>68400/55.9</calculatedColumnFormula>
    </tableColumn>
    <tableColumn id="6" xr3:uid="{49D24326-8AE1-9F44-9A26-96AE9313E982}" name="Waarde MIN" dataDxfId="250" dataCellStyle="Komma">
      <calculatedColumnFormula>0.84*F421</calculatedColumnFormula>
    </tableColumn>
    <tableColumn id="7" xr3:uid="{10DB8662-4C67-2445-A01D-5A8C6F9C6416}" name="Opmerkingen" dataDxfId="249"/>
    <tableColumn id="8" xr3:uid="{C1B9A29B-BE19-A44A-84C4-62BFD33E1077}" name="Status beschrijving" dataDxfId="248"/>
    <tableColumn id="9" xr3:uid="{77D48BBE-F131-1544-8AF2-8DADD08FD05D}" name="Status" dataDxfId="247"/>
    <tableColumn id="10" xr3:uid="{D054198B-BF45-374C-9319-4D913881A4D9}" name="Bron 1 - naam/jaar" dataDxfId="246"/>
    <tableColumn id="11" xr3:uid="{8CE5E10E-C84C-784E-B6BF-F8829D2D5895}" name="Bron 1 - waarde" dataDxfId="245"/>
    <tableColumn id="12" xr3:uid="{61DAE504-5FB9-BF43-AF09-4BD2C90A8A31}" name="Bron 1 - type/link" dataDxfId="244"/>
    <tableColumn id="13" xr3:uid="{C6E36ACA-9401-CF48-BE5A-4D7DE568B92D}" name="Bron 2 - naam/jaar" dataDxfId="243"/>
    <tableColumn id="14" xr3:uid="{76C9FF3C-8A19-AD4E-9239-7E1248B36828}" name="Bron 2 - waarde" dataDxfId="242"/>
    <tableColumn id="15" xr3:uid="{52E6BBFF-DDC9-1446-A20E-10E26819ED46}" name="Bron 2 - type/link" dataDxfId="241"/>
    <tableColumn id="16" xr3:uid="{7952B08A-D845-D445-B8AE-FD2C815F3FC3}" name="Bron 3 - naam/jaar" dataDxfId="240"/>
    <tableColumn id="17" xr3:uid="{36112D7D-491F-5C4D-A584-DDF8F7A812F8}" name="Bron 3 - waarde" dataDxfId="239"/>
    <tableColumn id="18" xr3:uid="{B1E0052D-B1CE-B94E-B09F-4C6788A0777F}" name="Bron 3 - type/link" dataDxfId="238"/>
    <tableColumn id="19" xr3:uid="{7D87647E-B770-2D4A-B2E5-267F6BC8FB89}" name="Actie" dataDxfId="237"/>
    <tableColumn id="20" xr3:uid="{23282D38-A188-6B40-A11D-3BF6C8D95E5B}" name="Eigenaar" dataDxfId="236"/>
    <tableColumn id="21" xr3:uid="{2BF9A376-3340-1944-9945-7F33A1442E78}" name="Deadline" dataDxfId="235"/>
  </tableColumns>
  <tableStyleInfo name="TableStyleMedium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417D169-6863-49EC-8B27-9008AA76E66B}" name="CO2Emissie0135" displayName="CO2Emissie0135" ref="B6:V20" totalsRowShown="0" headerRowDxfId="234">
  <tableColumns count="21">
    <tableColumn id="1" xr3:uid="{5C682556-FE27-462D-9F5F-86FA675B7CF3}" name="Bedrijfsgrootte in hectares - per regio" dataDxfId="233"/>
    <tableColumn id="2" xr3:uid="{2ABBE700-927A-4E81-B025-0094E6FDB872}" name="Eenheid" dataDxfId="232"/>
    <tableColumn id="4" xr3:uid="{5E522B17-7C47-4F14-931E-3E47BAAF4E82}" name="Geen" dataDxfId="231" dataCellStyle="Komma"/>
    <tableColumn id="3" xr3:uid="{DACBFA7B-CDE8-4ED5-9C4E-3B015CE4667D}" name="Gemiddelde bedrijfsgrootte" dataDxfId="230" dataCellStyle="Komma"/>
    <tableColumn id="5" xr3:uid="{CA162D53-4331-4B97-992C-2BF1855078C1}" name="Kolom2" dataDxfId="229" dataCellStyle="Komma"/>
    <tableColumn id="6" xr3:uid="{80CB0E9F-4EB3-4A2E-B391-87933E18E197}" name="Kolom3" dataDxfId="228" dataCellStyle="Komma"/>
    <tableColumn id="7" xr3:uid="{AAB81C73-61C8-4945-B5D0-68CC50FEA761}" name="Opmerkingen"/>
    <tableColumn id="8" xr3:uid="{91A60319-861A-4FC6-90CD-05A29BE05929}" name="Status beschrijving" dataDxfId="227"/>
    <tableColumn id="9" xr3:uid="{2AFEDB49-B2ED-44EC-A6D0-131115BB6BB4}" name="Status" dataDxfId="226"/>
    <tableColumn id="10" xr3:uid="{6D3B709C-3679-4278-BE72-0942B52046C9}" name="Bron 1 - naam/jaar" dataDxfId="225"/>
    <tableColumn id="11" xr3:uid="{145DADD2-3753-4EDA-B10D-57A3A7550CA1}" name="Bron 1 - waarde" dataDxfId="224"/>
    <tableColumn id="12" xr3:uid="{BCF813A5-D3D7-4865-93C4-31CA79202D98}" name="Bron 1 - type/link"/>
    <tableColumn id="13" xr3:uid="{82F051E4-341E-49AF-8CC3-323FEE384308}" name="Bron 2 - naam/jaar"/>
    <tableColumn id="14" xr3:uid="{69C3107A-3549-4C4B-9513-0D2D5BF6A853}" name="Bron 2 - waarde" dataDxfId="223"/>
    <tableColumn id="15" xr3:uid="{FD3B2440-FA75-4EBF-A89F-E1D12D133F39}" name="Bron 2 - type/link"/>
    <tableColumn id="16" xr3:uid="{7A45406D-CFE4-4329-9A5A-B30B96BB57A2}" name="Bron 3 - naam/jaar"/>
    <tableColumn id="17" xr3:uid="{6E1CADF8-54C8-4BDF-A2B2-AFAEBE536165}" name="Bron 3 - waarde" dataDxfId="222"/>
    <tableColumn id="18" xr3:uid="{9472B6D2-8B0F-4A67-AA49-F9D25CF31530}" name="Bron 3 - type/link"/>
    <tableColumn id="19" xr3:uid="{C6F2A7A9-359E-48AC-A86E-202A74CCE327}" name="Actie"/>
    <tableColumn id="20" xr3:uid="{E49E8C06-A5C2-4665-A7F3-17CC790572C8}" name="Eigenaar"/>
    <tableColumn id="21" xr3:uid="{7823A529-C6A6-403C-A685-851993849FBF}" name="Deadline"/>
  </tableColumns>
  <tableStyleInfo name="TableStyleMedium7"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74E6086-50B3-47BC-8C8C-A3C5079E30E1}" name="HarvestCost0137" displayName="HarvestCost0137" ref="B189:V198" totalsRowShown="0" headerRowDxfId="221">
  <tableColumns count="21">
    <tableColumn id="1" xr3:uid="{04E4221C-6852-4EB1-86BF-256CE2CEE19F}" name="Oogst - uren per ha - Gehele plant/blad &amp; stengelmateriaal" dataDxfId="220">
      <calculatedColumnFormula>B179</calculatedColumnFormula>
    </tableColumn>
    <tableColumn id="2" xr3:uid="{2780B3D1-887D-4BFF-A6F6-E246884B8534}" name="Eenheid" dataDxfId="219"/>
    <tableColumn id="3" xr3:uid="{0115075F-7710-43BB-B867-F60329789508}" name="Geen" dataDxfId="218" dataCellStyle="Komma"/>
    <tableColumn id="4" xr3:uid="{E5F19F64-C703-46A2-B204-1F81D4ABD35D}" name="Waarde MAX" dataDxfId="217" dataCellStyle="Komma"/>
    <tableColumn id="5" xr3:uid="{5E3E8A5A-5FFE-46A5-BEC5-9C45E0890C2A}" name="Waarde GEM" dataDxfId="216" dataCellStyle="Komma"/>
    <tableColumn id="6" xr3:uid="{C6BD8AC5-52E5-463F-9BEE-5C9F47A3E0E9}" name="Waarde MIN" dataDxfId="215" dataCellStyle="Komma"/>
    <tableColumn id="7" xr3:uid="{2CC9E600-AABB-4462-A740-15CE227AC648}" name="Opmerkingen"/>
    <tableColumn id="8" xr3:uid="{44866ED3-5748-460B-8262-6904655474CD}" name="Status beschrijving"/>
    <tableColumn id="9" xr3:uid="{721656B4-DA1E-41C3-A3E0-884577B89AE1}" name="Status" dataDxfId="214"/>
    <tableColumn id="13" xr3:uid="{0594D983-5C4B-4C02-90BE-6108F3CDF4A2}" name="Bron 1 - naam/jaar"/>
    <tableColumn id="14" xr3:uid="{CADF45A0-9F6F-451D-92C3-1280D1EF746A}" name="Bron 1 - waarde" dataDxfId="213"/>
    <tableColumn id="15" xr3:uid="{06752488-4D51-473A-B2C4-6C23913F5A1B}" name="Bron 1 - type/link"/>
    <tableColumn id="16" xr3:uid="{E380754D-F28D-4CF6-8E6F-09E9007DD4B7}" name="Bron 2 - naam/jaar"/>
    <tableColumn id="17" xr3:uid="{72E344BB-680D-4AE7-B195-557915BB2283}" name="Bron 2 - waarde" dataDxfId="212"/>
    <tableColumn id="18" xr3:uid="{D4309EE9-2C60-4827-9906-E61124F41C70}" name="Bron 2 - type/link"/>
    <tableColumn id="19" xr3:uid="{59CDD59D-7FF9-4E10-9DF3-4E48F767B5E6}" name="Bron 3 - naam/jaar"/>
    <tableColumn id="20" xr3:uid="{C5000363-64B6-40E6-B995-4A947D249D04}" name="Bron 3 - waarde" dataDxfId="211"/>
    <tableColumn id="21" xr3:uid="{94CC46A6-0E15-4C8C-8CE2-1BF06ADA1281}" name="Bron 3 - type/link"/>
    <tableColumn id="10" xr3:uid="{BEA3475D-1186-4066-AE34-16B6AD56F866}" name="Actie"/>
    <tableColumn id="11" xr3:uid="{F241623F-B452-46CB-AD06-1F2284245477}" name="Eigenaar"/>
    <tableColumn id="12" xr3:uid="{D1C55B28-E619-4E46-8A0B-E98FE2C71C3B}" name="Deadline"/>
  </tableColumns>
  <tableStyleInfo name="TableStyleMedium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84890A56-6475-4243-82F3-3165F51E8004}" name="HarvestCost244" displayName="HarvestCost244" ref="B214:V220" totalsRowShown="0" headerRowDxfId="210">
  <tableColumns count="21">
    <tableColumn id="1" xr3:uid="{C2D95BF8-B700-4299-9E04-36CF986B1347}" name="Oogst - uren per ha - Pluis" dataDxfId="209"/>
    <tableColumn id="2" xr3:uid="{D3845DE2-1A27-4833-940A-9E856A3D9B15}" name="Eenheid" dataDxfId="208"/>
    <tableColumn id="3" xr3:uid="{34B5FE00-F49F-48AB-B322-E680E1A8EB93}" name="Geen" dataDxfId="207" dataCellStyle="Komma"/>
    <tableColumn id="4" xr3:uid="{BFD15F9D-1FFE-4C10-9CC7-82488D2C341F}" name="Waarde MAX" dataDxfId="206" dataCellStyle="Komma"/>
    <tableColumn id="5" xr3:uid="{4BDC7D1B-4AFB-4ECA-9067-15EE91939133}" name="Waarde GEM" dataDxfId="205" dataCellStyle="Komma"/>
    <tableColumn id="6" xr3:uid="{87C72F97-5197-4E69-8B14-960B3C0DC4D8}" name="Waarde MIN" dataDxfId="204" dataCellStyle="Komma"/>
    <tableColumn id="7" xr3:uid="{11A69FB1-B00D-4BF0-89CC-5397823495DC}" name="Opmerkingen"/>
    <tableColumn id="8" xr3:uid="{4BDE3B15-A664-47EE-98E1-BE52B9084EFD}" name="Status beschrijving"/>
    <tableColumn id="9" xr3:uid="{372A9556-4360-4960-B081-CA01B163A88A}" name="Status" dataDxfId="203"/>
    <tableColumn id="13" xr3:uid="{6D653421-B5C0-4929-B9E6-C01F76DDFAA3}" name="Bron 1 - naam/jaar"/>
    <tableColumn id="14" xr3:uid="{67AA410C-DF19-4191-BD45-0F460991D00E}" name="Bron 1 - waarde" dataDxfId="202"/>
    <tableColumn id="15" xr3:uid="{2B799E31-ABCF-4176-A1D9-93762941CDE8}" name="Bron 1 - type/link"/>
    <tableColumn id="16" xr3:uid="{2655D0FE-3398-49EE-A885-9EC0BB3999A3}" name="Bron 2 - naam/jaar"/>
    <tableColumn id="17" xr3:uid="{44A84F02-0823-4C5C-AC77-D8B7FF3D9EB9}" name="Bron 2 - waarde" dataDxfId="201"/>
    <tableColumn id="18" xr3:uid="{E7795675-E0DA-4FC5-8C88-09BB90A195AC}" name="Bron 2 - type/link"/>
    <tableColumn id="19" xr3:uid="{AF2B9AB8-5967-42DD-BB76-2B95CE4C22CE}" name="Bron 3 - naam/jaar"/>
    <tableColumn id="20" xr3:uid="{FD73F7B7-9069-49FF-B653-434980CF210F}" name="Bron 3 - waarde" dataDxfId="200"/>
    <tableColumn id="21" xr3:uid="{D8F51C14-EC9F-4695-80BC-F4535AE27960}" name="Bron 3 - type/link"/>
    <tableColumn id="10" xr3:uid="{09629263-83E5-4AE0-92EB-82E09458FD27}" name="Actie"/>
    <tableColumn id="11" xr3:uid="{7136C32A-C63B-4002-8CD5-13F11958418F}" name="Eigenaar"/>
    <tableColumn id="12" xr3:uid="{7151D146-3573-47BC-B518-E3B0ECE1B2AA}" name="Deadline"/>
  </tableColumns>
  <tableStyleInfo name="TableStyleMedium4"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7DCB-8F44-9E49-919B-7A829EF184F8}">
  <sheetPr>
    <tabColor theme="4"/>
  </sheetPr>
  <dimension ref="B2:O235"/>
  <sheetViews>
    <sheetView showGridLines="0" tabSelected="1" zoomScaleNormal="100" workbookViewId="0">
      <pane ySplit="2" topLeftCell="A211" activePane="bottomLeft" state="frozen"/>
      <selection pane="bottomLeft" activeCell="D237" sqref="D237"/>
    </sheetView>
  </sheetViews>
  <sheetFormatPr baseColWidth="10" defaultColWidth="11" defaultRowHeight="16" x14ac:dyDescent="0.2"/>
  <cols>
    <col min="1" max="1" width="3.1640625" style="486" customWidth="1"/>
    <col min="2" max="2" width="15.83203125" style="486" customWidth="1"/>
    <col min="3" max="5" width="11" style="486"/>
    <col min="6" max="6" width="11.6640625" style="486" customWidth="1"/>
    <col min="7" max="16384" width="11" style="486"/>
  </cols>
  <sheetData>
    <row r="2" spans="2:15" ht="19" x14ac:dyDescent="0.25">
      <c r="B2" s="487" t="s">
        <v>747</v>
      </c>
      <c r="C2" s="488"/>
      <c r="D2" s="488"/>
      <c r="E2" s="488"/>
      <c r="F2" s="488"/>
      <c r="G2" s="488"/>
      <c r="H2" s="488"/>
      <c r="I2" s="488"/>
      <c r="J2" s="488"/>
      <c r="K2" s="488"/>
      <c r="L2" s="488"/>
      <c r="M2" s="488"/>
      <c r="N2" s="488"/>
      <c r="O2" s="488"/>
    </row>
    <row r="4" spans="2:15" ht="17" x14ac:dyDescent="0.2">
      <c r="B4" s="489" t="s">
        <v>6</v>
      </c>
      <c r="C4" s="490"/>
      <c r="D4" s="490"/>
      <c r="E4" s="490"/>
      <c r="F4" s="490"/>
      <c r="G4" s="490"/>
      <c r="H4" s="490"/>
      <c r="I4" s="490"/>
      <c r="J4" s="490"/>
      <c r="K4" s="490"/>
      <c r="L4" s="490"/>
      <c r="M4" s="490"/>
      <c r="N4" s="490"/>
      <c r="O4" s="490"/>
    </row>
    <row r="6" spans="2:15" x14ac:dyDescent="0.2">
      <c r="B6" s="491" t="s">
        <v>7</v>
      </c>
      <c r="C6" s="486" t="s">
        <v>8</v>
      </c>
    </row>
    <row r="7" spans="2:15" x14ac:dyDescent="0.2">
      <c r="B7" s="491" t="s">
        <v>9</v>
      </c>
      <c r="C7" s="98" t="s">
        <v>904</v>
      </c>
    </row>
    <row r="8" spans="2:15" x14ac:dyDescent="0.2">
      <c r="B8" s="491" t="s">
        <v>10</v>
      </c>
      <c r="C8" s="486" t="s">
        <v>11</v>
      </c>
    </row>
    <row r="9" spans="2:15" x14ac:dyDescent="0.2">
      <c r="B9" s="491" t="s">
        <v>12</v>
      </c>
      <c r="C9" s="486" t="s">
        <v>13</v>
      </c>
    </row>
    <row r="11" spans="2:15" ht="17" x14ac:dyDescent="0.2">
      <c r="B11" s="489" t="s">
        <v>919</v>
      </c>
      <c r="C11" s="490"/>
      <c r="D11" s="490"/>
      <c r="E11" s="490"/>
      <c r="F11" s="490"/>
      <c r="G11" s="490"/>
      <c r="H11" s="490"/>
      <c r="I11" s="490"/>
      <c r="J11" s="490"/>
      <c r="K11" s="490"/>
      <c r="L11" s="490"/>
      <c r="M11" s="490"/>
      <c r="N11" s="490"/>
      <c r="O11" s="490"/>
    </row>
    <row r="13" spans="2:15" x14ac:dyDescent="0.2">
      <c r="B13" s="486" t="s">
        <v>907</v>
      </c>
    </row>
    <row r="14" spans="2:15" x14ac:dyDescent="0.2">
      <c r="B14" s="486" t="s">
        <v>908</v>
      </c>
    </row>
    <row r="15" spans="2:15" x14ac:dyDescent="0.2">
      <c r="B15" s="486" t="s">
        <v>909</v>
      </c>
    </row>
    <row r="16" spans="2:15" x14ac:dyDescent="0.2">
      <c r="B16" s="486" t="s">
        <v>918</v>
      </c>
    </row>
    <row r="18" spans="2:15" ht="17" x14ac:dyDescent="0.2">
      <c r="B18" s="489" t="s">
        <v>906</v>
      </c>
      <c r="C18" s="490"/>
      <c r="D18" s="490"/>
      <c r="E18" s="490"/>
      <c r="F18" s="490"/>
      <c r="G18" s="490"/>
      <c r="H18" s="490"/>
      <c r="I18" s="490"/>
      <c r="J18" s="490"/>
      <c r="K18" s="490"/>
      <c r="L18" s="490"/>
      <c r="M18" s="490"/>
      <c r="N18" s="490"/>
      <c r="O18" s="490"/>
    </row>
    <row r="20" spans="2:15" x14ac:dyDescent="0.2">
      <c r="B20" s="486" t="s">
        <v>910</v>
      </c>
    </row>
    <row r="21" spans="2:15" x14ac:dyDescent="0.2">
      <c r="B21" s="486" t="s">
        <v>911</v>
      </c>
    </row>
    <row r="22" spans="2:15" x14ac:dyDescent="0.2">
      <c r="B22" s="486" t="s">
        <v>912</v>
      </c>
    </row>
    <row r="23" spans="2:15" x14ac:dyDescent="0.2">
      <c r="B23" s="486" t="s">
        <v>913</v>
      </c>
    </row>
    <row r="24" spans="2:15" x14ac:dyDescent="0.2">
      <c r="B24" s="486" t="s">
        <v>914</v>
      </c>
    </row>
    <row r="25" spans="2:15" x14ac:dyDescent="0.2">
      <c r="B25" s="486" t="s">
        <v>915</v>
      </c>
    </row>
    <row r="26" spans="2:15" x14ac:dyDescent="0.2">
      <c r="B26" s="486" t="s">
        <v>916</v>
      </c>
    </row>
    <row r="27" spans="2:15" x14ac:dyDescent="0.2">
      <c r="B27" s="486" t="s">
        <v>905</v>
      </c>
    </row>
    <row r="28" spans="2:15" x14ac:dyDescent="0.2">
      <c r="B28" s="486" t="s">
        <v>917</v>
      </c>
    </row>
    <row r="30" spans="2:15" ht="17" x14ac:dyDescent="0.2">
      <c r="B30" s="489" t="s">
        <v>14</v>
      </c>
      <c r="C30" s="490"/>
      <c r="D30" s="490"/>
      <c r="E30" s="490"/>
      <c r="F30" s="490"/>
      <c r="G30" s="490"/>
      <c r="H30" s="490"/>
      <c r="I30" s="490"/>
      <c r="J30" s="490"/>
      <c r="K30" s="490"/>
      <c r="L30" s="490"/>
      <c r="M30" s="490"/>
      <c r="N30" s="490"/>
      <c r="O30" s="490"/>
    </row>
    <row r="32" spans="2:15" x14ac:dyDescent="0.2">
      <c r="B32" s="491" t="s">
        <v>920</v>
      </c>
    </row>
    <row r="33" spans="2:3" x14ac:dyDescent="0.2">
      <c r="B33" s="493" t="s">
        <v>1018</v>
      </c>
      <c r="C33" s="486" t="s">
        <v>921</v>
      </c>
    </row>
    <row r="34" spans="2:3" x14ac:dyDescent="0.2">
      <c r="B34" s="493" t="s">
        <v>1019</v>
      </c>
      <c r="C34" s="486" t="s">
        <v>922</v>
      </c>
    </row>
    <row r="35" spans="2:3" x14ac:dyDescent="0.2">
      <c r="B35" s="493" t="s">
        <v>1020</v>
      </c>
      <c r="C35" s="486" t="s">
        <v>923</v>
      </c>
    </row>
    <row r="36" spans="2:3" x14ac:dyDescent="0.2">
      <c r="B36" s="493" t="s">
        <v>1021</v>
      </c>
      <c r="C36" s="486" t="s">
        <v>924</v>
      </c>
    </row>
    <row r="37" spans="2:3" x14ac:dyDescent="0.2">
      <c r="B37" s="493" t="s">
        <v>1022</v>
      </c>
      <c r="C37" s="486" t="s">
        <v>925</v>
      </c>
    </row>
    <row r="38" spans="2:3" x14ac:dyDescent="0.2">
      <c r="B38" s="493" t="s">
        <v>1023</v>
      </c>
      <c r="C38" s="486" t="s">
        <v>926</v>
      </c>
    </row>
    <row r="39" spans="2:3" x14ac:dyDescent="0.2">
      <c r="B39" s="493" t="s">
        <v>1024</v>
      </c>
      <c r="C39" s="486" t="s">
        <v>927</v>
      </c>
    </row>
    <row r="40" spans="2:3" x14ac:dyDescent="0.2">
      <c r="B40" s="493"/>
    </row>
    <row r="41" spans="2:3" x14ac:dyDescent="0.2">
      <c r="B41" s="492" t="s">
        <v>928</v>
      </c>
    </row>
    <row r="42" spans="2:3" x14ac:dyDescent="0.2">
      <c r="B42" s="493"/>
    </row>
    <row r="43" spans="2:3" x14ac:dyDescent="0.2">
      <c r="B43" s="491" t="s">
        <v>929</v>
      </c>
    </row>
    <row r="44" spans="2:3" x14ac:dyDescent="0.2">
      <c r="B44" s="492" t="s">
        <v>933</v>
      </c>
    </row>
    <row r="46" spans="2:3" x14ac:dyDescent="0.2">
      <c r="B46" s="486" t="s">
        <v>930</v>
      </c>
    </row>
    <row r="47" spans="2:3" x14ac:dyDescent="0.2">
      <c r="B47" s="486" t="s">
        <v>932</v>
      </c>
    </row>
    <row r="48" spans="2:3" x14ac:dyDescent="0.2">
      <c r="B48" s="486" t="s">
        <v>931</v>
      </c>
    </row>
    <row r="49" spans="2:2" x14ac:dyDescent="0.2">
      <c r="B49" s="486" t="s">
        <v>934</v>
      </c>
    </row>
    <row r="50" spans="2:2" x14ac:dyDescent="0.2">
      <c r="B50" s="486" t="s">
        <v>935</v>
      </c>
    </row>
    <row r="51" spans="2:2" x14ac:dyDescent="0.2">
      <c r="B51" s="486" t="s">
        <v>936</v>
      </c>
    </row>
    <row r="52" spans="2:2" x14ac:dyDescent="0.2">
      <c r="B52" s="486" t="s">
        <v>937</v>
      </c>
    </row>
    <row r="53" spans="2:2" x14ac:dyDescent="0.2">
      <c r="B53" s="486" t="s">
        <v>938</v>
      </c>
    </row>
    <row r="54" spans="2:2" x14ac:dyDescent="0.2">
      <c r="B54" s="486" t="s">
        <v>939</v>
      </c>
    </row>
    <row r="55" spans="2:2" x14ac:dyDescent="0.2">
      <c r="B55" s="486" t="s">
        <v>945</v>
      </c>
    </row>
    <row r="56" spans="2:2" x14ac:dyDescent="0.2">
      <c r="B56" s="486" t="s">
        <v>946</v>
      </c>
    </row>
    <row r="57" spans="2:2" x14ac:dyDescent="0.2">
      <c r="B57" s="486" t="s">
        <v>940</v>
      </c>
    </row>
    <row r="58" spans="2:2" x14ac:dyDescent="0.2">
      <c r="B58" s="486" t="s">
        <v>941</v>
      </c>
    </row>
    <row r="59" spans="2:2" x14ac:dyDescent="0.2">
      <c r="B59" s="486" t="s">
        <v>947</v>
      </c>
    </row>
    <row r="60" spans="2:2" x14ac:dyDescent="0.2">
      <c r="B60" s="486" t="s">
        <v>942</v>
      </c>
    </row>
    <row r="61" spans="2:2" x14ac:dyDescent="0.2">
      <c r="B61" s="486" t="s">
        <v>943</v>
      </c>
    </row>
    <row r="62" spans="2:2" x14ac:dyDescent="0.2">
      <c r="B62" s="486" t="s">
        <v>948</v>
      </c>
    </row>
    <row r="63" spans="2:2" x14ac:dyDescent="0.2">
      <c r="B63" s="486" t="s">
        <v>944</v>
      </c>
    </row>
    <row r="65" spans="2:15" ht="17" x14ac:dyDescent="0.2">
      <c r="B65" s="489" t="s">
        <v>15</v>
      </c>
      <c r="C65" s="490"/>
      <c r="D65" s="490"/>
      <c r="E65" s="490"/>
      <c r="F65" s="490"/>
      <c r="G65" s="490"/>
      <c r="H65" s="490"/>
      <c r="I65" s="490"/>
      <c r="J65" s="490"/>
      <c r="K65" s="490"/>
      <c r="L65" s="490"/>
      <c r="M65" s="490"/>
      <c r="N65" s="490"/>
      <c r="O65" s="490"/>
    </row>
    <row r="67" spans="2:15" ht="16" customHeight="1" x14ac:dyDescent="0.2">
      <c r="B67" s="491" t="s">
        <v>950</v>
      </c>
      <c r="C67" s="497"/>
      <c r="D67" s="497"/>
      <c r="E67" s="497"/>
      <c r="F67" s="497"/>
      <c r="G67" s="497"/>
      <c r="H67" s="497"/>
      <c r="I67" s="497"/>
      <c r="J67" s="497"/>
      <c r="K67" s="497"/>
      <c r="L67" s="497"/>
      <c r="M67" s="497"/>
      <c r="N67" s="497"/>
      <c r="O67" s="497"/>
    </row>
    <row r="68" spans="2:15" ht="16" customHeight="1" x14ac:dyDescent="0.2">
      <c r="B68" s="497" t="s">
        <v>953</v>
      </c>
      <c r="C68" s="497"/>
      <c r="D68" s="497"/>
      <c r="E68" s="497"/>
      <c r="F68" s="497"/>
      <c r="G68" s="497"/>
      <c r="H68" s="497"/>
      <c r="I68" s="497"/>
      <c r="J68" s="497"/>
      <c r="K68" s="497"/>
      <c r="L68" s="497"/>
      <c r="M68" s="497"/>
      <c r="N68" s="497"/>
      <c r="O68" s="497"/>
    </row>
    <row r="69" spans="2:15" x14ac:dyDescent="0.2">
      <c r="B69" s="497" t="s">
        <v>954</v>
      </c>
      <c r="C69" s="497"/>
      <c r="D69" s="497"/>
      <c r="E69" s="497"/>
      <c r="F69" s="497"/>
      <c r="G69" s="497"/>
      <c r="H69" s="497"/>
      <c r="I69" s="497"/>
      <c r="J69" s="497"/>
      <c r="K69" s="497"/>
      <c r="L69" s="497"/>
      <c r="M69" s="497"/>
      <c r="N69" s="497"/>
      <c r="O69" s="497"/>
    </row>
    <row r="71" spans="2:15" x14ac:dyDescent="0.2">
      <c r="B71" s="495" t="s">
        <v>949</v>
      </c>
    </row>
    <row r="72" spans="2:15" x14ac:dyDescent="0.2">
      <c r="B72" s="486" t="s">
        <v>952</v>
      </c>
    </row>
    <row r="73" spans="2:15" x14ac:dyDescent="0.2">
      <c r="B73" s="486" t="s">
        <v>951</v>
      </c>
    </row>
    <row r="74" spans="2:15" x14ac:dyDescent="0.2">
      <c r="B74" s="486" t="s">
        <v>955</v>
      </c>
    </row>
    <row r="75" spans="2:15" x14ac:dyDescent="0.2">
      <c r="B75" s="486" t="s">
        <v>956</v>
      </c>
    </row>
    <row r="76" spans="2:15" x14ac:dyDescent="0.2">
      <c r="B76" s="486" t="s">
        <v>958</v>
      </c>
    </row>
    <row r="77" spans="2:15" x14ac:dyDescent="0.2">
      <c r="B77" s="486" t="s">
        <v>957</v>
      </c>
    </row>
    <row r="78" spans="2:15" x14ac:dyDescent="0.2">
      <c r="B78" s="486" t="s">
        <v>1129</v>
      </c>
    </row>
    <row r="79" spans="2:15" x14ac:dyDescent="0.2">
      <c r="B79" s="486" t="s">
        <v>1130</v>
      </c>
    </row>
    <row r="80" spans="2:15" x14ac:dyDescent="0.2">
      <c r="B80" s="486" t="s">
        <v>1131</v>
      </c>
    </row>
    <row r="81" spans="2:15" x14ac:dyDescent="0.2">
      <c r="B81" s="486" t="s">
        <v>1132</v>
      </c>
    </row>
    <row r="83" spans="2:15" ht="17" x14ac:dyDescent="0.2">
      <c r="B83" s="489" t="s">
        <v>16</v>
      </c>
      <c r="C83" s="490"/>
      <c r="D83" s="490"/>
      <c r="E83" s="490"/>
      <c r="F83" s="490"/>
      <c r="G83" s="490"/>
      <c r="H83" s="490"/>
      <c r="I83" s="490"/>
      <c r="J83" s="490"/>
      <c r="K83" s="490"/>
      <c r="L83" s="490"/>
      <c r="M83" s="490"/>
      <c r="N83" s="490"/>
      <c r="O83" s="490"/>
    </row>
    <row r="85" spans="2:15" x14ac:dyDescent="0.2">
      <c r="B85" s="491" t="s">
        <v>715</v>
      </c>
    </row>
    <row r="86" spans="2:15" x14ac:dyDescent="0.2">
      <c r="B86" s="493" t="s">
        <v>960</v>
      </c>
      <c r="F86" s="486" t="s">
        <v>961</v>
      </c>
      <c r="G86" s="486" t="s">
        <v>962</v>
      </c>
    </row>
    <row r="87" spans="2:15" x14ac:dyDescent="0.2">
      <c r="B87" s="493"/>
      <c r="G87" s="486" t="s">
        <v>963</v>
      </c>
    </row>
    <row r="88" spans="2:15" x14ac:dyDescent="0.2">
      <c r="B88" s="493"/>
      <c r="G88" s="486" t="s">
        <v>964</v>
      </c>
    </row>
    <row r="89" spans="2:15" x14ac:dyDescent="0.2">
      <c r="B89" s="493"/>
      <c r="G89" s="486" t="s">
        <v>965</v>
      </c>
    </row>
    <row r="90" spans="2:15" x14ac:dyDescent="0.2">
      <c r="B90" s="493"/>
      <c r="G90" s="486" t="s">
        <v>966</v>
      </c>
    </row>
    <row r="91" spans="2:15" x14ac:dyDescent="0.2">
      <c r="B91" s="493"/>
      <c r="G91" s="486" t="s">
        <v>967</v>
      </c>
    </row>
    <row r="92" spans="2:15" x14ac:dyDescent="0.2">
      <c r="B92" s="493"/>
      <c r="G92" s="486" t="s">
        <v>968</v>
      </c>
    </row>
    <row r="93" spans="2:15" x14ac:dyDescent="0.2">
      <c r="B93" s="493"/>
      <c r="G93" s="486" t="s">
        <v>969</v>
      </c>
    </row>
    <row r="94" spans="2:15" ht="8" customHeight="1" x14ac:dyDescent="0.2"/>
    <row r="95" spans="2:15" x14ac:dyDescent="0.2">
      <c r="B95" s="493" t="s">
        <v>970</v>
      </c>
      <c r="F95" s="486" t="s">
        <v>961</v>
      </c>
      <c r="G95" s="486" t="s">
        <v>971</v>
      </c>
    </row>
    <row r="96" spans="2:15" ht="8" customHeight="1" x14ac:dyDescent="0.2">
      <c r="B96" s="493"/>
    </row>
    <row r="97" spans="2:7" x14ac:dyDescent="0.2">
      <c r="B97" s="493" t="s">
        <v>972</v>
      </c>
      <c r="F97" s="486" t="s">
        <v>977</v>
      </c>
      <c r="G97" s="486" t="s">
        <v>975</v>
      </c>
    </row>
    <row r="98" spans="2:7" x14ac:dyDescent="0.2">
      <c r="B98" s="493"/>
      <c r="G98" s="486" t="s">
        <v>978</v>
      </c>
    </row>
    <row r="99" spans="2:7" x14ac:dyDescent="0.2">
      <c r="B99" s="493"/>
      <c r="G99" s="486" t="s">
        <v>979</v>
      </c>
    </row>
    <row r="100" spans="2:7" x14ac:dyDescent="0.2">
      <c r="B100" s="493"/>
      <c r="F100" s="486" t="s">
        <v>1103</v>
      </c>
      <c r="G100" s="486" t="s">
        <v>1104</v>
      </c>
    </row>
    <row r="101" spans="2:7" x14ac:dyDescent="0.2">
      <c r="B101" s="493"/>
      <c r="G101" s="486" t="s">
        <v>1105</v>
      </c>
    </row>
    <row r="102" spans="2:7" x14ac:dyDescent="0.2">
      <c r="B102" s="493"/>
      <c r="G102" s="486" t="s">
        <v>1106</v>
      </c>
    </row>
    <row r="103" spans="2:7" ht="8" customHeight="1" x14ac:dyDescent="0.2"/>
    <row r="104" spans="2:7" x14ac:dyDescent="0.2">
      <c r="B104" s="493" t="s">
        <v>976</v>
      </c>
      <c r="F104" s="486" t="s">
        <v>980</v>
      </c>
      <c r="G104" s="486" t="s">
        <v>982</v>
      </c>
    </row>
    <row r="105" spans="2:7" x14ac:dyDescent="0.2">
      <c r="B105" s="493"/>
      <c r="G105" s="486" t="s">
        <v>983</v>
      </c>
    </row>
    <row r="106" spans="2:7" x14ac:dyDescent="0.2">
      <c r="B106" s="493"/>
      <c r="G106" s="486" t="s">
        <v>981</v>
      </c>
    </row>
    <row r="107" spans="2:7" x14ac:dyDescent="0.2">
      <c r="B107" s="493"/>
      <c r="G107" s="486" t="s">
        <v>984</v>
      </c>
    </row>
    <row r="108" spans="2:7" x14ac:dyDescent="0.2">
      <c r="B108" s="493"/>
      <c r="F108" s="486" t="s">
        <v>1107</v>
      </c>
      <c r="G108" s="486" t="s">
        <v>1108</v>
      </c>
    </row>
    <row r="109" spans="2:7" ht="8" customHeight="1" x14ac:dyDescent="0.2"/>
    <row r="110" spans="2:7" x14ac:dyDescent="0.2">
      <c r="B110" s="493" t="s">
        <v>1049</v>
      </c>
      <c r="F110" s="486" t="s">
        <v>1050</v>
      </c>
      <c r="G110" s="486" t="s">
        <v>1051</v>
      </c>
    </row>
    <row r="111" spans="2:7" ht="8" customHeight="1" x14ac:dyDescent="0.2">
      <c r="B111" s="493"/>
    </row>
    <row r="112" spans="2:7" x14ac:dyDescent="0.2">
      <c r="B112" s="493" t="s">
        <v>998</v>
      </c>
      <c r="F112" s="486" t="s">
        <v>999</v>
      </c>
      <c r="G112" s="486" t="s">
        <v>1000</v>
      </c>
    </row>
    <row r="113" spans="2:7" x14ac:dyDescent="0.2">
      <c r="B113" s="493"/>
      <c r="G113" s="486" t="s">
        <v>1001</v>
      </c>
    </row>
    <row r="114" spans="2:7" x14ac:dyDescent="0.2">
      <c r="B114" s="493"/>
      <c r="G114" s="486" t="s">
        <v>1002</v>
      </c>
    </row>
    <row r="115" spans="2:7" ht="8" customHeight="1" x14ac:dyDescent="0.2">
      <c r="B115" s="493"/>
    </row>
    <row r="116" spans="2:7" x14ac:dyDescent="0.2">
      <c r="B116" s="493" t="s">
        <v>1005</v>
      </c>
      <c r="F116" s="486" t="s">
        <v>1003</v>
      </c>
      <c r="G116" s="486" t="s">
        <v>1004</v>
      </c>
    </row>
    <row r="117" spans="2:7" ht="8" customHeight="1" x14ac:dyDescent="0.2">
      <c r="B117" s="493"/>
    </row>
    <row r="118" spans="2:7" x14ac:dyDescent="0.2">
      <c r="B118" s="493" t="s">
        <v>1007</v>
      </c>
      <c r="F118" s="486" t="s">
        <v>1008</v>
      </c>
      <c r="G118" s="486" t="s">
        <v>1009</v>
      </c>
    </row>
    <row r="119" spans="2:7" ht="8" customHeight="1" x14ac:dyDescent="0.2">
      <c r="B119" s="493"/>
    </row>
    <row r="120" spans="2:7" x14ac:dyDescent="0.2">
      <c r="B120" s="493" t="s">
        <v>1006</v>
      </c>
      <c r="F120" s="486" t="s">
        <v>1010</v>
      </c>
      <c r="G120" s="486" t="s">
        <v>1011</v>
      </c>
    </row>
    <row r="121" spans="2:7" x14ac:dyDescent="0.2">
      <c r="B121" s="493"/>
      <c r="G121" s="486" t="s">
        <v>1012</v>
      </c>
    </row>
    <row r="122" spans="2:7" x14ac:dyDescent="0.2">
      <c r="B122" s="493"/>
      <c r="G122" s="486" t="s">
        <v>1109</v>
      </c>
    </row>
    <row r="123" spans="2:7" ht="8" customHeight="1" x14ac:dyDescent="0.2">
      <c r="B123" s="493"/>
    </row>
    <row r="124" spans="2:7" x14ac:dyDescent="0.2">
      <c r="B124" s="493" t="s">
        <v>1013</v>
      </c>
      <c r="F124" s="486" t="s">
        <v>1014</v>
      </c>
      <c r="G124" s="486" t="s">
        <v>1015</v>
      </c>
    </row>
    <row r="125" spans="2:7" x14ac:dyDescent="0.2">
      <c r="B125" s="493"/>
      <c r="G125" s="486" t="s">
        <v>1016</v>
      </c>
    </row>
    <row r="126" spans="2:7" x14ac:dyDescent="0.2">
      <c r="B126" s="493"/>
      <c r="G126" s="486" t="s">
        <v>1017</v>
      </c>
    </row>
    <row r="127" spans="2:7" ht="8" customHeight="1" x14ac:dyDescent="0.2">
      <c r="B127" s="493"/>
    </row>
    <row r="128" spans="2:7" x14ac:dyDescent="0.2">
      <c r="B128" s="493" t="s">
        <v>985</v>
      </c>
      <c r="F128" s="486" t="s">
        <v>167</v>
      </c>
      <c r="G128" s="486" t="s">
        <v>987</v>
      </c>
    </row>
    <row r="129" spans="2:7" x14ac:dyDescent="0.2">
      <c r="B129" s="493" t="s">
        <v>986</v>
      </c>
    </row>
    <row r="130" spans="2:7" ht="8" customHeight="1" x14ac:dyDescent="0.2">
      <c r="B130" s="493"/>
    </row>
    <row r="131" spans="2:7" x14ac:dyDescent="0.2">
      <c r="B131" s="493" t="s">
        <v>993</v>
      </c>
      <c r="F131" s="486" t="s">
        <v>994</v>
      </c>
      <c r="G131" s="486" t="s">
        <v>995</v>
      </c>
    </row>
    <row r="132" spans="2:7" x14ac:dyDescent="0.2">
      <c r="B132" s="493"/>
      <c r="G132" s="486" t="s">
        <v>981</v>
      </c>
    </row>
    <row r="133" spans="2:7" x14ac:dyDescent="0.2">
      <c r="B133" s="493"/>
      <c r="G133" s="486" t="s">
        <v>996</v>
      </c>
    </row>
    <row r="134" spans="2:7" x14ac:dyDescent="0.2">
      <c r="B134" s="493"/>
      <c r="G134" s="486" t="s">
        <v>997</v>
      </c>
    </row>
    <row r="135" spans="2:7" ht="8" customHeight="1" x14ac:dyDescent="0.2">
      <c r="B135" s="493"/>
    </row>
    <row r="136" spans="2:7" x14ac:dyDescent="0.2">
      <c r="B136" s="493" t="s">
        <v>988</v>
      </c>
      <c r="F136" s="486" t="s">
        <v>989</v>
      </c>
      <c r="G136" s="486" t="s">
        <v>990</v>
      </c>
    </row>
    <row r="137" spans="2:7" ht="8" customHeight="1" x14ac:dyDescent="0.2">
      <c r="B137" s="493"/>
    </row>
    <row r="138" spans="2:7" x14ac:dyDescent="0.2">
      <c r="B138" s="493" t="s">
        <v>991</v>
      </c>
      <c r="F138" s="486" t="s">
        <v>992</v>
      </c>
      <c r="G138" s="486" t="s">
        <v>990</v>
      </c>
    </row>
    <row r="140" spans="2:7" x14ac:dyDescent="0.2">
      <c r="B140" s="491" t="s">
        <v>1032</v>
      </c>
    </row>
    <row r="141" spans="2:7" x14ac:dyDescent="0.2">
      <c r="B141" s="493" t="s">
        <v>1025</v>
      </c>
      <c r="C141" s="486" t="s">
        <v>1026</v>
      </c>
    </row>
    <row r="142" spans="2:7" x14ac:dyDescent="0.2">
      <c r="B142" s="493" t="s">
        <v>1030</v>
      </c>
      <c r="C142" s="486" t="s">
        <v>1031</v>
      </c>
    </row>
    <row r="143" spans="2:7" x14ac:dyDescent="0.2">
      <c r="B143" s="493" t="s">
        <v>1033</v>
      </c>
      <c r="C143" s="486" t="s">
        <v>1035</v>
      </c>
    </row>
    <row r="144" spans="2:7" x14ac:dyDescent="0.2">
      <c r="B144" s="493"/>
      <c r="C144" s="486" t="s">
        <v>1034</v>
      </c>
    </row>
    <row r="145" spans="2:3" x14ac:dyDescent="0.2">
      <c r="B145" s="493" t="s">
        <v>1036</v>
      </c>
      <c r="C145" s="486" t="s">
        <v>1037</v>
      </c>
    </row>
    <row r="146" spans="2:3" x14ac:dyDescent="0.2">
      <c r="B146" s="493"/>
      <c r="C146" s="486" t="s">
        <v>1038</v>
      </c>
    </row>
    <row r="147" spans="2:3" x14ac:dyDescent="0.2">
      <c r="B147" s="493" t="s">
        <v>1039</v>
      </c>
      <c r="C147" s="486" t="s">
        <v>1040</v>
      </c>
    </row>
    <row r="148" spans="2:3" x14ac:dyDescent="0.2">
      <c r="B148" s="493" t="s">
        <v>1043</v>
      </c>
      <c r="C148" s="486" t="s">
        <v>1044</v>
      </c>
    </row>
    <row r="149" spans="2:3" x14ac:dyDescent="0.2">
      <c r="B149" s="493" t="s">
        <v>1041</v>
      </c>
      <c r="C149" s="486" t="s">
        <v>1042</v>
      </c>
    </row>
    <row r="150" spans="2:3" x14ac:dyDescent="0.2">
      <c r="B150" s="493" t="s">
        <v>1046</v>
      </c>
      <c r="C150" s="486" t="s">
        <v>1047</v>
      </c>
    </row>
    <row r="151" spans="2:3" x14ac:dyDescent="0.2">
      <c r="B151" s="493" t="s">
        <v>1027</v>
      </c>
      <c r="C151" s="486" t="s">
        <v>1028</v>
      </c>
    </row>
    <row r="152" spans="2:3" x14ac:dyDescent="0.2">
      <c r="B152" s="493"/>
      <c r="C152" s="486" t="s">
        <v>1029</v>
      </c>
    </row>
    <row r="153" spans="2:3" x14ac:dyDescent="0.2">
      <c r="B153" s="493" t="s">
        <v>1066</v>
      </c>
      <c r="C153" s="486" t="s">
        <v>1067</v>
      </c>
    </row>
    <row r="154" spans="2:3" x14ac:dyDescent="0.2">
      <c r="B154" s="493" t="s">
        <v>1045</v>
      </c>
      <c r="C154" s="486" t="s">
        <v>1068</v>
      </c>
    </row>
    <row r="156" spans="2:3" x14ac:dyDescent="0.2">
      <c r="B156" s="491" t="s">
        <v>1060</v>
      </c>
    </row>
    <row r="157" spans="2:3" x14ac:dyDescent="0.2">
      <c r="B157" s="493" t="s">
        <v>1048</v>
      </c>
      <c r="C157" s="486" t="s">
        <v>1052</v>
      </c>
    </row>
    <row r="158" spans="2:3" x14ac:dyDescent="0.2">
      <c r="B158" s="493" t="s">
        <v>1053</v>
      </c>
      <c r="C158" s="486" t="s">
        <v>1054</v>
      </c>
    </row>
    <row r="159" spans="2:3" x14ac:dyDescent="0.2">
      <c r="C159" s="486" t="s">
        <v>1055</v>
      </c>
    </row>
    <row r="160" spans="2:3" x14ac:dyDescent="0.2">
      <c r="C160" s="486" t="s">
        <v>1056</v>
      </c>
    </row>
    <row r="161" spans="2:3" x14ac:dyDescent="0.2">
      <c r="C161" s="486" t="s">
        <v>1057</v>
      </c>
    </row>
    <row r="162" spans="2:3" x14ac:dyDescent="0.2">
      <c r="C162" s="486" t="s">
        <v>1058</v>
      </c>
    </row>
    <row r="163" spans="2:3" x14ac:dyDescent="0.2">
      <c r="B163" s="493" t="s">
        <v>1059</v>
      </c>
      <c r="C163" s="486" t="s">
        <v>1061</v>
      </c>
    </row>
    <row r="164" spans="2:3" x14ac:dyDescent="0.2">
      <c r="C164" s="486" t="s">
        <v>1062</v>
      </c>
    </row>
    <row r="165" spans="2:3" x14ac:dyDescent="0.2">
      <c r="B165" s="493" t="s">
        <v>1063</v>
      </c>
      <c r="C165" s="486" t="s">
        <v>1064</v>
      </c>
    </row>
    <row r="166" spans="2:3" x14ac:dyDescent="0.2">
      <c r="C166" s="486" t="s">
        <v>1065</v>
      </c>
    </row>
    <row r="168" spans="2:3" x14ac:dyDescent="0.2">
      <c r="B168" s="491" t="s">
        <v>17</v>
      </c>
    </row>
    <row r="169" spans="2:3" x14ac:dyDescent="0.2">
      <c r="B169" s="493" t="s">
        <v>1070</v>
      </c>
      <c r="C169" s="486" t="s">
        <v>887</v>
      </c>
    </row>
    <row r="170" spans="2:3" x14ac:dyDescent="0.2">
      <c r="B170" s="493" t="s">
        <v>1071</v>
      </c>
      <c r="C170" s="486" t="s">
        <v>1072</v>
      </c>
    </row>
    <row r="171" spans="2:3" x14ac:dyDescent="0.2">
      <c r="C171" s="486" t="s">
        <v>1073</v>
      </c>
    </row>
    <row r="172" spans="2:3" x14ac:dyDescent="0.2">
      <c r="C172" s="486" t="s">
        <v>1074</v>
      </c>
    </row>
    <row r="173" spans="2:3" x14ac:dyDescent="0.2">
      <c r="B173" s="493" t="s">
        <v>1075</v>
      </c>
      <c r="C173" s="486" t="s">
        <v>1110</v>
      </c>
    </row>
    <row r="174" spans="2:3" x14ac:dyDescent="0.2">
      <c r="B174" s="493"/>
      <c r="C174" s="486" t="s">
        <v>1111</v>
      </c>
    </row>
    <row r="175" spans="2:3" x14ac:dyDescent="0.2">
      <c r="B175" s="493"/>
      <c r="C175" s="486" t="s">
        <v>1112</v>
      </c>
    </row>
    <row r="176" spans="2:3" x14ac:dyDescent="0.2">
      <c r="B176" s="493"/>
      <c r="C176" s="486" t="s">
        <v>1113</v>
      </c>
    </row>
    <row r="177" spans="2:3" x14ac:dyDescent="0.2">
      <c r="B177" s="493"/>
      <c r="C177" s="486" t="s">
        <v>1114</v>
      </c>
    </row>
    <row r="178" spans="2:3" x14ac:dyDescent="0.2">
      <c r="B178" s="493"/>
      <c r="C178" s="486" t="s">
        <v>1115</v>
      </c>
    </row>
    <row r="179" spans="2:3" x14ac:dyDescent="0.2">
      <c r="B179" s="493"/>
      <c r="C179" s="486" t="s">
        <v>1116</v>
      </c>
    </row>
    <row r="180" spans="2:3" x14ac:dyDescent="0.2">
      <c r="B180" s="493"/>
      <c r="C180" s="486" t="s">
        <v>1117</v>
      </c>
    </row>
    <row r="181" spans="2:3" x14ac:dyDescent="0.2">
      <c r="B181" s="493"/>
      <c r="C181" s="486" t="s">
        <v>1118</v>
      </c>
    </row>
    <row r="182" spans="2:3" x14ac:dyDescent="0.2">
      <c r="B182" s="493"/>
      <c r="C182" s="486" t="s">
        <v>1125</v>
      </c>
    </row>
    <row r="183" spans="2:3" x14ac:dyDescent="0.2">
      <c r="B183" s="493"/>
      <c r="C183" s="486" t="s">
        <v>1126</v>
      </c>
    </row>
    <row r="184" spans="2:3" x14ac:dyDescent="0.2">
      <c r="B184" s="493"/>
      <c r="C184" s="486" t="s">
        <v>1127</v>
      </c>
    </row>
    <row r="185" spans="2:3" x14ac:dyDescent="0.2">
      <c r="B185" s="493"/>
      <c r="C185" s="486" t="s">
        <v>1128</v>
      </c>
    </row>
    <row r="186" spans="2:3" x14ac:dyDescent="0.2">
      <c r="B186" s="493" t="s">
        <v>1076</v>
      </c>
      <c r="C186" s="486" t="s">
        <v>1121</v>
      </c>
    </row>
    <row r="187" spans="2:3" x14ac:dyDescent="0.2">
      <c r="B187" s="493"/>
      <c r="C187" s="486" t="s">
        <v>1122</v>
      </c>
    </row>
    <row r="188" spans="2:3" x14ac:dyDescent="0.2">
      <c r="B188" s="493"/>
      <c r="C188" s="486" t="s">
        <v>1123</v>
      </c>
    </row>
    <row r="189" spans="2:3" x14ac:dyDescent="0.2">
      <c r="C189" s="486" t="s">
        <v>1124</v>
      </c>
    </row>
    <row r="190" spans="2:3" x14ac:dyDescent="0.2">
      <c r="C190" s="486" t="s">
        <v>1119</v>
      </c>
    </row>
    <row r="191" spans="2:3" x14ac:dyDescent="0.2">
      <c r="C191" s="486" t="s">
        <v>1120</v>
      </c>
    </row>
    <row r="193" spans="2:15" x14ac:dyDescent="0.2">
      <c r="B193" s="491" t="s">
        <v>1069</v>
      </c>
    </row>
    <row r="194" spans="2:15" x14ac:dyDescent="0.2">
      <c r="B194" s="492" t="s">
        <v>1077</v>
      </c>
    </row>
    <row r="195" spans="2:15" x14ac:dyDescent="0.2">
      <c r="B195" s="486" t="s">
        <v>1078</v>
      </c>
    </row>
    <row r="196" spans="2:15" x14ac:dyDescent="0.2">
      <c r="B196" s="492" t="s">
        <v>1079</v>
      </c>
    </row>
    <row r="198" spans="2:15" x14ac:dyDescent="0.2">
      <c r="B198" s="490" t="s">
        <v>18</v>
      </c>
      <c r="C198" s="490"/>
      <c r="D198" s="490"/>
      <c r="E198" s="490"/>
      <c r="F198" s="490"/>
      <c r="G198" s="490"/>
      <c r="H198" s="490"/>
      <c r="I198" s="490"/>
      <c r="J198" s="490"/>
      <c r="K198" s="490"/>
      <c r="L198" s="490"/>
      <c r="M198" s="490"/>
      <c r="N198" s="490"/>
      <c r="O198" s="490"/>
    </row>
    <row r="200" spans="2:15" x14ac:dyDescent="0.2">
      <c r="B200" s="486" t="s">
        <v>1080</v>
      </c>
    </row>
    <row r="202" spans="2:15" x14ac:dyDescent="0.2">
      <c r="B202" s="491" t="s">
        <v>1069</v>
      </c>
    </row>
    <row r="203" spans="2:15" x14ac:dyDescent="0.2">
      <c r="B203" s="491"/>
    </row>
    <row r="204" spans="2:15" x14ac:dyDescent="0.2">
      <c r="B204" s="494" t="s">
        <v>1082</v>
      </c>
    </row>
    <row r="205" spans="2:15" x14ac:dyDescent="0.2">
      <c r="B205" s="492" t="s">
        <v>1091</v>
      </c>
    </row>
    <row r="206" spans="2:15" x14ac:dyDescent="0.2">
      <c r="B206" s="486" t="s">
        <v>1092</v>
      </c>
    </row>
    <row r="208" spans="2:15" x14ac:dyDescent="0.2">
      <c r="B208" s="491" t="s">
        <v>1083</v>
      </c>
    </row>
    <row r="210" spans="2:15" x14ac:dyDescent="0.2">
      <c r="B210" s="494" t="s">
        <v>1082</v>
      </c>
    </row>
    <row r="211" spans="2:15" x14ac:dyDescent="0.2">
      <c r="B211" s="486" t="s">
        <v>1084</v>
      </c>
    </row>
    <row r="212" spans="2:15" x14ac:dyDescent="0.2">
      <c r="B212" s="486" t="s">
        <v>1085</v>
      </c>
    </row>
    <row r="213" spans="2:15" x14ac:dyDescent="0.2">
      <c r="B213" s="486" t="s">
        <v>1086</v>
      </c>
    </row>
    <row r="214" spans="2:15" x14ac:dyDescent="0.2">
      <c r="B214" s="486" t="s">
        <v>1087</v>
      </c>
    </row>
    <row r="216" spans="2:15" x14ac:dyDescent="0.2">
      <c r="B216" s="491" t="s">
        <v>1088</v>
      </c>
    </row>
    <row r="218" spans="2:15" x14ac:dyDescent="0.2">
      <c r="B218" s="494" t="s">
        <v>1081</v>
      </c>
    </row>
    <row r="219" spans="2:15" x14ac:dyDescent="0.2">
      <c r="B219" s="497" t="s">
        <v>1089</v>
      </c>
      <c r="C219" s="497"/>
      <c r="D219" s="497"/>
      <c r="E219" s="497"/>
      <c r="F219" s="497"/>
      <c r="G219" s="497"/>
      <c r="H219" s="497"/>
      <c r="I219" s="497"/>
      <c r="J219" s="497"/>
      <c r="K219" s="497"/>
      <c r="L219" s="497"/>
      <c r="M219" s="497"/>
      <c r="N219" s="497"/>
      <c r="O219" s="497"/>
    </row>
    <row r="220" spans="2:15" x14ac:dyDescent="0.2">
      <c r="B220" s="497" t="s">
        <v>1090</v>
      </c>
      <c r="C220" s="497"/>
      <c r="D220" s="497"/>
      <c r="E220" s="497"/>
      <c r="F220" s="497"/>
      <c r="G220" s="497"/>
      <c r="H220" s="497"/>
      <c r="I220" s="497"/>
      <c r="J220" s="497"/>
      <c r="K220" s="497"/>
      <c r="L220" s="497"/>
      <c r="M220" s="497"/>
      <c r="N220" s="497"/>
      <c r="O220" s="497"/>
    </row>
    <row r="221" spans="2:15" x14ac:dyDescent="0.2">
      <c r="B221" s="496"/>
      <c r="C221" s="496"/>
      <c r="D221" s="496"/>
      <c r="E221" s="496"/>
      <c r="F221" s="496"/>
      <c r="G221" s="496"/>
      <c r="H221" s="496"/>
      <c r="I221" s="496"/>
      <c r="J221" s="496"/>
      <c r="K221" s="496"/>
      <c r="L221" s="496"/>
      <c r="M221" s="496"/>
      <c r="N221" s="496"/>
      <c r="O221" s="496"/>
    </row>
    <row r="222" spans="2:15" x14ac:dyDescent="0.2">
      <c r="B222" s="491" t="s">
        <v>1093</v>
      </c>
    </row>
    <row r="223" spans="2:15" x14ac:dyDescent="0.2">
      <c r="B223" s="486" t="s">
        <v>1094</v>
      </c>
    </row>
    <row r="224" spans="2:15" x14ac:dyDescent="0.2">
      <c r="B224" s="486" t="s">
        <v>1095</v>
      </c>
    </row>
    <row r="225" spans="2:2" x14ac:dyDescent="0.2">
      <c r="B225" s="486" t="s">
        <v>1096</v>
      </c>
    </row>
    <row r="226" spans="2:2" x14ac:dyDescent="0.2">
      <c r="B226" s="486" t="s">
        <v>1097</v>
      </c>
    </row>
    <row r="227" spans="2:2" x14ac:dyDescent="0.2">
      <c r="B227" s="486" t="s">
        <v>1100</v>
      </c>
    </row>
    <row r="228" spans="2:2" x14ac:dyDescent="0.2">
      <c r="B228" s="486" t="s">
        <v>1101</v>
      </c>
    </row>
    <row r="229" spans="2:2" x14ac:dyDescent="0.2">
      <c r="B229" s="486" t="s">
        <v>1102</v>
      </c>
    </row>
    <row r="230" spans="2:2" x14ac:dyDescent="0.2">
      <c r="B230" s="486" t="s">
        <v>1098</v>
      </c>
    </row>
    <row r="231" spans="2:2" x14ac:dyDescent="0.2">
      <c r="B231" s="486" t="s">
        <v>1099</v>
      </c>
    </row>
    <row r="235" spans="2:2" x14ac:dyDescent="0.2">
      <c r="B235" s="491"/>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3A95-D94E-0945-B4F1-AF29BA9F00CC}">
  <sheetPr>
    <tabColor theme="9"/>
  </sheetPr>
  <dimension ref="B2:AP132"/>
  <sheetViews>
    <sheetView showGridLines="0" workbookViewId="0">
      <pane ySplit="7" topLeftCell="A8" activePane="bottomLeft" state="frozen"/>
      <selection pane="bottomLeft" activeCell="C132" sqref="C132"/>
    </sheetView>
  </sheetViews>
  <sheetFormatPr baseColWidth="10" defaultRowHeight="16" x14ac:dyDescent="0.2"/>
  <cols>
    <col min="1" max="1" width="3" customWidth="1"/>
    <col min="2" max="2" width="34.83203125" customWidth="1"/>
    <col min="7" max="7" width="3" customWidth="1"/>
    <col min="11" max="11" width="3" customWidth="1"/>
    <col min="16" max="16" width="34.83203125" customWidth="1"/>
    <col min="21" max="21" width="3" customWidth="1"/>
    <col min="26" max="26" width="34.83203125" customWidth="1"/>
    <col min="31" max="31" width="3" customWidth="1"/>
    <col min="35" max="35" width="3" customWidth="1"/>
    <col min="39" max="39" width="3" customWidth="1"/>
    <col min="41" max="41" width="10.83203125" customWidth="1"/>
  </cols>
  <sheetData>
    <row r="2" spans="2:42" ht="19" x14ac:dyDescent="0.25">
      <c r="B2" s="95" t="s">
        <v>831</v>
      </c>
      <c r="C2" s="100"/>
      <c r="D2" s="100"/>
      <c r="E2" s="101"/>
      <c r="F2" s="101"/>
      <c r="G2" s="101"/>
      <c r="H2" s="100"/>
      <c r="I2" s="100"/>
      <c r="J2" s="100"/>
      <c r="K2" s="100"/>
      <c r="L2" s="100"/>
      <c r="M2" s="100"/>
      <c r="N2" s="100"/>
      <c r="O2" s="100"/>
      <c r="P2" s="102"/>
      <c r="Q2" s="100"/>
      <c r="R2" s="100"/>
      <c r="S2" s="102"/>
      <c r="T2" s="102"/>
      <c r="U2" s="102"/>
      <c r="V2" s="100"/>
      <c r="W2" s="100"/>
      <c r="X2" s="100"/>
      <c r="Y2" s="102"/>
      <c r="Z2" s="100"/>
      <c r="AA2" s="100"/>
      <c r="AB2" s="100"/>
      <c r="AC2" s="100"/>
      <c r="AD2" s="100"/>
      <c r="AE2" s="100"/>
      <c r="AF2" s="100"/>
      <c r="AG2" s="100"/>
      <c r="AH2" s="100"/>
      <c r="AI2" s="100"/>
      <c r="AJ2" s="100"/>
      <c r="AK2" s="100"/>
      <c r="AL2" s="100"/>
      <c r="AM2" s="100"/>
      <c r="AN2" s="100"/>
      <c r="AO2" s="100"/>
      <c r="AP2" s="100"/>
    </row>
    <row r="4" spans="2:42" ht="17" x14ac:dyDescent="0.2">
      <c r="B4" s="105" t="str">
        <f>'SCENARIO 1 - Gemiddeld'!B256</f>
        <v>Resultaten bedrijfsvoering</v>
      </c>
      <c r="C4" s="105"/>
      <c r="D4" s="105"/>
      <c r="E4" s="105"/>
      <c r="F4" s="105"/>
      <c r="G4" s="105"/>
      <c r="H4" s="105"/>
      <c r="I4" s="105"/>
      <c r="J4" s="105"/>
      <c r="K4" s="105"/>
      <c r="L4" s="105"/>
      <c r="M4" s="105"/>
      <c r="N4" s="105"/>
      <c r="P4" s="105" t="str">
        <f>'SCENARIO 1 - Gemiddeld'!H256</f>
        <v>Vergelijking resultaten vs. referentie inkomsten</v>
      </c>
      <c r="Q4" s="105"/>
      <c r="R4" s="105"/>
      <c r="S4" s="105"/>
      <c r="T4" s="105"/>
      <c r="U4" s="105"/>
      <c r="V4" s="105"/>
      <c r="W4" s="105"/>
      <c r="X4" s="105"/>
      <c r="Z4" s="105" t="str">
        <f>'SCENARIO 1 - Gemiddeld'!N256</f>
        <v>Berekening subsidie onrendabele top overheid</v>
      </c>
      <c r="AA4" s="105"/>
      <c r="AB4" s="105"/>
      <c r="AC4" s="105"/>
      <c r="AD4" s="105"/>
      <c r="AE4" s="105"/>
      <c r="AF4" s="105"/>
      <c r="AG4" s="105"/>
      <c r="AH4" s="105"/>
      <c r="AI4" s="105"/>
      <c r="AJ4" s="105"/>
      <c r="AK4" s="105"/>
      <c r="AL4" s="105"/>
      <c r="AM4" s="105"/>
      <c r="AN4" s="105"/>
      <c r="AO4" s="105"/>
      <c r="AP4" s="105"/>
    </row>
    <row r="5" spans="2:42" x14ac:dyDescent="0.2">
      <c r="B5" s="1"/>
      <c r="C5" s="1"/>
      <c r="D5" s="1"/>
      <c r="E5" s="2"/>
      <c r="F5" s="2"/>
      <c r="G5" s="2"/>
      <c r="H5" s="2"/>
      <c r="I5" s="2"/>
      <c r="J5" s="2"/>
      <c r="K5" s="2"/>
      <c r="L5" s="2"/>
      <c r="M5" s="2"/>
      <c r="N5" s="2"/>
      <c r="V5" s="3"/>
      <c r="W5" s="3"/>
    </row>
    <row r="6" spans="2:42" ht="19" x14ac:dyDescent="0.25">
      <c r="B6" s="438" t="str">
        <f>'SCENARIO 1 - Gemiddeld'!B258</f>
        <v>Beschrijving</v>
      </c>
      <c r="C6" s="438" t="str">
        <f>'SCENARIO 1 - Gemiddeld'!C258</f>
        <v xml:space="preserve">Eenheid </v>
      </c>
      <c r="D6" s="498" t="str">
        <f>'SCENARIO 1 - Gemiddeld'!D258</f>
        <v>Totaal</v>
      </c>
      <c r="E6" s="498"/>
      <c r="F6" s="498"/>
      <c r="G6" s="439"/>
      <c r="H6" s="498" t="str">
        <f>'SCENARIO 1 - Gemiddeld'!E258</f>
        <v>Per hectare</v>
      </c>
      <c r="I6" s="498"/>
      <c r="J6" s="498"/>
      <c r="K6" s="439"/>
      <c r="L6" s="498" t="str">
        <f>'SCENARIO 1 - Gemiddeld'!F258</f>
        <v>Per ton DS</v>
      </c>
      <c r="M6" s="498"/>
      <c r="N6" s="498"/>
      <c r="P6" s="438" t="str">
        <f>'SCENARIO 1 - Gemiddeld'!H258</f>
        <v>Beschrijving</v>
      </c>
      <c r="Q6" s="438" t="str">
        <f>'SCENARIO 1 - Gemiddeld'!I258</f>
        <v xml:space="preserve">Eenheid </v>
      </c>
      <c r="R6" s="498" t="str">
        <f>'SCENARIO 1 - Gemiddeld'!J258</f>
        <v>Totaal</v>
      </c>
      <c r="S6" s="498"/>
      <c r="T6" s="498"/>
      <c r="U6" s="439"/>
      <c r="V6" s="498" t="str">
        <f>'SCENARIO 1 - Gemiddeld'!K258</f>
        <v>Per hectare</v>
      </c>
      <c r="W6" s="498"/>
      <c r="X6" s="498"/>
      <c r="Z6" s="438" t="str">
        <f>'SCENARIO 1 - Gemiddeld'!N258</f>
        <v>Beschrijving</v>
      </c>
      <c r="AA6" s="438" t="str">
        <f>'SCENARIO 1 - Gemiddeld'!O258</f>
        <v xml:space="preserve">Eenheid </v>
      </c>
      <c r="AB6" s="498" t="str">
        <f>'SCENARIO 1 - Gemiddeld'!P258</f>
        <v>Totaal</v>
      </c>
      <c r="AC6" s="498"/>
      <c r="AD6" s="498"/>
      <c r="AE6" s="439"/>
      <c r="AF6" s="498" t="str">
        <f>'SCENARIO 1 - Gemiddeld'!Q258</f>
        <v>Per hectare</v>
      </c>
      <c r="AG6" s="498"/>
      <c r="AH6" s="498"/>
      <c r="AI6" s="439"/>
      <c r="AJ6" s="498" t="str">
        <f>'SCENARIO 1 - Gemiddeld'!R258</f>
        <v>Per ton DS</v>
      </c>
      <c r="AK6" s="498"/>
      <c r="AL6" s="498"/>
      <c r="AM6" s="439"/>
      <c r="AN6" s="498" t="str">
        <f>'SCENARIO 1 - Gemiddeld'!T258</f>
        <v>Per ton vermeden CO2-eq.</v>
      </c>
      <c r="AO6" s="498"/>
      <c r="AP6" s="498"/>
    </row>
    <row r="7" spans="2:42" ht="19" x14ac:dyDescent="0.25">
      <c r="B7" s="302" t="s">
        <v>832</v>
      </c>
      <c r="C7" s="302"/>
      <c r="D7" s="151" t="s">
        <v>833</v>
      </c>
      <c r="E7" s="151" t="s">
        <v>827</v>
      </c>
      <c r="F7" s="151" t="s">
        <v>834</v>
      </c>
      <c r="G7" s="151"/>
      <c r="H7" s="151" t="s">
        <v>833</v>
      </c>
      <c r="I7" s="151" t="s">
        <v>827</v>
      </c>
      <c r="J7" s="151" t="s">
        <v>834</v>
      </c>
      <c r="K7" s="151"/>
      <c r="L7" s="151" t="s">
        <v>833</v>
      </c>
      <c r="M7" s="151" t="s">
        <v>827</v>
      </c>
      <c r="N7" s="151" t="s">
        <v>834</v>
      </c>
      <c r="P7" s="302" t="s">
        <v>832</v>
      </c>
      <c r="Q7" s="302"/>
      <c r="R7" s="151" t="s">
        <v>833</v>
      </c>
      <c r="S7" s="151" t="s">
        <v>827</v>
      </c>
      <c r="T7" s="151" t="s">
        <v>834</v>
      </c>
      <c r="U7" s="151"/>
      <c r="V7" s="151" t="s">
        <v>833</v>
      </c>
      <c r="W7" s="151" t="s">
        <v>827</v>
      </c>
      <c r="X7" s="151" t="s">
        <v>834</v>
      </c>
      <c r="Y7" s="151"/>
      <c r="Z7" s="302" t="s">
        <v>832</v>
      </c>
      <c r="AA7" s="302"/>
      <c r="AB7" s="151" t="s">
        <v>833</v>
      </c>
      <c r="AC7" s="151" t="s">
        <v>827</v>
      </c>
      <c r="AD7" s="151" t="s">
        <v>834</v>
      </c>
      <c r="AE7" s="151"/>
      <c r="AF7" s="151" t="s">
        <v>833</v>
      </c>
      <c r="AG7" s="151" t="s">
        <v>827</v>
      </c>
      <c r="AH7" s="151" t="s">
        <v>834</v>
      </c>
      <c r="AI7" s="151"/>
      <c r="AJ7" s="151" t="s">
        <v>833</v>
      </c>
      <c r="AK7" s="151" t="s">
        <v>827</v>
      </c>
      <c r="AL7" s="151" t="s">
        <v>834</v>
      </c>
      <c r="AM7" s="439"/>
      <c r="AN7" s="151" t="s">
        <v>833</v>
      </c>
      <c r="AO7" s="151" t="s">
        <v>827</v>
      </c>
      <c r="AP7" s="151" t="s">
        <v>834</v>
      </c>
    </row>
    <row r="8" spans="2:42" ht="19" x14ac:dyDescent="0.25">
      <c r="B8" s="1"/>
      <c r="C8" s="1"/>
      <c r="D8" s="2"/>
      <c r="E8" s="2"/>
      <c r="F8" s="2"/>
      <c r="G8" s="2"/>
      <c r="H8" s="2"/>
      <c r="I8" s="2"/>
      <c r="J8" s="2"/>
      <c r="K8" s="2"/>
      <c r="L8" s="2"/>
      <c r="M8" s="2"/>
      <c r="N8" s="2"/>
      <c r="P8" s="438"/>
      <c r="Q8" s="438"/>
      <c r="R8" s="438"/>
      <c r="S8" s="439"/>
      <c r="T8" s="439"/>
      <c r="U8" s="439"/>
      <c r="V8" s="439"/>
      <c r="W8" s="439"/>
      <c r="Z8" s="438"/>
      <c r="AA8" s="438"/>
      <c r="AB8" s="438"/>
      <c r="AC8" s="439"/>
      <c r="AD8" s="439"/>
      <c r="AE8" s="439"/>
      <c r="AF8" s="439"/>
      <c r="AG8" s="439"/>
      <c r="AH8" s="439"/>
      <c r="AI8" s="439"/>
      <c r="AJ8" s="439"/>
      <c r="AK8" s="439"/>
      <c r="AL8" s="439"/>
      <c r="AM8" s="439"/>
      <c r="AN8" s="439"/>
      <c r="AO8" s="439"/>
    </row>
    <row r="9" spans="2:42" x14ac:dyDescent="0.2">
      <c r="B9" t="str">
        <f>'SCENARIO 1 - Gemiddeld'!B259</f>
        <v>Aantal hectare in beheer</v>
      </c>
      <c r="C9" t="str">
        <f>'SCENARIO 1 - Gemiddeld'!C259</f>
        <v>[ha]</v>
      </c>
      <c r="D9" s="212">
        <f>'SCENARIO 2 - Beste geval'!D260</f>
        <v>50</v>
      </c>
      <c r="E9" s="212">
        <f>'SCENARIO 1 - Gemiddeld'!D259</f>
        <v>50</v>
      </c>
      <c r="F9" s="212">
        <f>'SCENARIO 3 - Slechtste geval'!D259</f>
        <v>50</v>
      </c>
      <c r="G9" s="212"/>
      <c r="V9" s="3"/>
      <c r="W9" s="3"/>
      <c r="Z9" t="str">
        <f>'SCENARIO 1 - Gemiddeld'!N259</f>
        <v>Minimaal inkomen</v>
      </c>
      <c r="AA9" s="270" t="str">
        <f>'SCENARIO 1 - Gemiddeld'!O259</f>
        <v>[€/a]</v>
      </c>
      <c r="AB9" s="294">
        <f>'SCENARIO 2 - Beste geval'!P260</f>
        <v>70357.781753130592</v>
      </c>
      <c r="AC9" s="294">
        <f>'SCENARIO 1 - Gemiddeld'!P259</f>
        <v>61180.679785330947</v>
      </c>
      <c r="AD9" s="294">
        <f>'SCENARIO 3 - Slechtste geval'!P259</f>
        <v>51391.771019677995</v>
      </c>
      <c r="AE9" s="294"/>
      <c r="AF9" s="212">
        <f>'SCENARIO 2 - Beste geval'!Q260</f>
        <v>1407.1556350626117</v>
      </c>
      <c r="AG9" s="212">
        <f>'SCENARIO 1 - Gemiddeld'!Q259</f>
        <v>1223.613595706619</v>
      </c>
      <c r="AH9" s="212">
        <f>'SCENARIO 3 - Slechtste geval'!Q259</f>
        <v>1027.8354203935598</v>
      </c>
      <c r="AI9" s="212"/>
      <c r="AJ9" s="212">
        <f>'SCENARIO 2 - Beste geval'!R260</f>
        <v>93.810375670840784</v>
      </c>
      <c r="AK9" s="212">
        <f>'SCENARIO 1 - Gemiddeld'!R259</f>
        <v>101.96779964221824</v>
      </c>
      <c r="AL9" s="212">
        <f>'SCENARIO 3 - Slechtste geval'!R259</f>
        <v>114.20393559928445</v>
      </c>
      <c r="AM9" s="212"/>
      <c r="AN9" s="212"/>
    </row>
    <row r="10" spans="2:42" x14ac:dyDescent="0.2">
      <c r="B10" t="str">
        <f>'SCENARIO 1 - Gemiddeld'!B260</f>
        <v>Aantal tonnen oogstopbrengst</v>
      </c>
      <c r="C10" t="str">
        <f>'SCENARIO 1 - Gemiddeld'!C260</f>
        <v>[t DS]</v>
      </c>
      <c r="D10" s="212">
        <f>'SCENARIO 2 - Beste geval'!D261</f>
        <v>750</v>
      </c>
      <c r="E10" s="212">
        <f>'SCENARIO 1 - Gemiddeld'!D260</f>
        <v>600</v>
      </c>
      <c r="F10" s="212">
        <f>'SCENARIO 3 - Slechtste geval'!D260</f>
        <v>449.99999999999994</v>
      </c>
      <c r="G10" s="212"/>
      <c r="H10">
        <f>'SCENARIO 2 - Beste geval'!E261</f>
        <v>15</v>
      </c>
      <c r="I10">
        <f>'SCENARIO 1 - Gemiddeld'!$E$260</f>
        <v>12</v>
      </c>
      <c r="J10">
        <f>'SCENARIO 3 - Slechtste geval'!E260</f>
        <v>8.9999999999999982</v>
      </c>
      <c r="V10" s="3"/>
      <c r="W10" s="3"/>
      <c r="Z10" t="str">
        <f>'SCENARIO 1 - Gemiddeld'!N260</f>
        <v>Vermeden ton CO2</v>
      </c>
      <c r="AA10" t="str">
        <f>'SCENARIO 1 - Gemiddeld'!O260</f>
        <v>[t CO2/a]</v>
      </c>
      <c r="AB10" s="294">
        <f>'SCENARIO 2 - Beste geval'!P261</f>
        <v>750</v>
      </c>
      <c r="AC10" s="294">
        <f>'SCENARIO 1 - Gemiddeld'!P260</f>
        <v>750</v>
      </c>
      <c r="AD10" s="294">
        <f>'SCENARIO 3 - Slechtste geval'!P260</f>
        <v>750</v>
      </c>
      <c r="AE10" s="294"/>
      <c r="AF10" s="294">
        <f>'SCENARIO 2 - Beste geval'!Q261</f>
        <v>15</v>
      </c>
      <c r="AG10" s="294">
        <f>'SCENARIO 1 - Gemiddeld'!Q260</f>
        <v>15</v>
      </c>
      <c r="AH10" s="294">
        <f>'SCENARIO 3 - Slechtste geval'!Q260</f>
        <v>15</v>
      </c>
      <c r="AI10" s="294"/>
      <c r="AJ10" s="414">
        <f>'SCENARIO 2 - Beste geval'!R261</f>
        <v>1</v>
      </c>
      <c r="AK10" s="414">
        <f>'SCENARIO 1 - Gemiddeld'!R260</f>
        <v>1.25</v>
      </c>
      <c r="AL10" s="414">
        <f>'SCENARIO 3 - Slechtste geval'!R260</f>
        <v>1.666666666666667</v>
      </c>
      <c r="AM10" s="414"/>
      <c r="AN10" s="414"/>
    </row>
    <row r="11" spans="2:42" x14ac:dyDescent="0.2">
      <c r="V11" s="3"/>
      <c r="W11" s="3"/>
      <c r="AB11" s="3"/>
      <c r="AC11" s="3"/>
      <c r="AD11" s="3"/>
      <c r="AE11" s="3"/>
      <c r="AF11" s="3"/>
      <c r="AG11" s="3"/>
      <c r="AH11" s="3"/>
      <c r="AI11" s="3"/>
      <c r="AJ11" s="3"/>
      <c r="AK11" s="3"/>
      <c r="AL11" s="3"/>
      <c r="AM11" s="3"/>
      <c r="AN11" s="3"/>
    </row>
    <row r="12" spans="2:42" ht="19" x14ac:dyDescent="0.25">
      <c r="B12" s="291" t="str">
        <f>'SCENARIO 1 - Gemiddeld'!B262</f>
        <v>Inkomsten totaal</v>
      </c>
      <c r="C12" s="291" t="str">
        <f>'SCENARIO 1 - Gemiddeld'!C262</f>
        <v>[€/a]</v>
      </c>
      <c r="D12" s="292">
        <f>'SCENARIO 2 - Beste geval'!D263</f>
        <v>770460.53091030219</v>
      </c>
      <c r="E12" s="292">
        <f>'SCENARIO 1 - Gemiddeld'!D262</f>
        <v>414099.08464537014</v>
      </c>
      <c r="F12" s="292">
        <f>'SCENARIO 3 - Slechtste geval'!D262</f>
        <v>181430.48112887764</v>
      </c>
      <c r="G12" s="292"/>
      <c r="H12" s="292">
        <f>'SCENARIO 2 - Beste geval'!E263</f>
        <v>15409.210618206045</v>
      </c>
      <c r="I12" s="292">
        <f>'SCENARIO 1 - Gemiddeld'!E262</f>
        <v>8281.9816929074041</v>
      </c>
      <c r="J12" s="292">
        <f>'SCENARIO 3 - Slechtste geval'!E262</f>
        <v>3628.6096225775536</v>
      </c>
      <c r="K12" s="292"/>
      <c r="L12" s="292">
        <f>'SCENARIO 2 - Beste geval'!F263</f>
        <v>1027.280707880403</v>
      </c>
      <c r="M12" s="292">
        <f>'SCENARIO 1 - Gemiddeld'!F262</f>
        <v>690.16514107561693</v>
      </c>
      <c r="N12" s="292">
        <f>'SCENARIO 3 - Slechtste geval'!F262</f>
        <v>403.17884695306145</v>
      </c>
      <c r="P12" s="291" t="str">
        <f>'SCENARIO 1 - Gemiddeld'!H262</f>
        <v>Vergelijking referentie inkomsten</v>
      </c>
      <c r="Q12" s="291"/>
      <c r="R12" s="291"/>
      <c r="S12" s="291"/>
      <c r="T12" s="291"/>
      <c r="U12" s="291"/>
      <c r="V12" s="291"/>
      <c r="W12" s="291"/>
      <c r="X12" s="291"/>
      <c r="Z12" s="291" t="str">
        <f>'SCENARIO 1 - Gemiddeld'!N262</f>
        <v>Onrendabele top</v>
      </c>
      <c r="AA12" s="291"/>
      <c r="AB12" s="291"/>
      <c r="AC12" s="291"/>
      <c r="AD12" s="291"/>
      <c r="AE12" s="291"/>
      <c r="AF12" s="291"/>
      <c r="AG12" s="291"/>
      <c r="AH12" s="291"/>
      <c r="AI12" s="291"/>
      <c r="AJ12" s="291"/>
      <c r="AK12" s="291"/>
      <c r="AL12" s="291"/>
      <c r="AM12" s="291"/>
      <c r="AN12" s="291"/>
      <c r="AO12" s="404"/>
      <c r="AP12" s="404"/>
    </row>
    <row r="13" spans="2:42" x14ac:dyDescent="0.2">
      <c r="B13" s="148"/>
      <c r="D13" s="211"/>
      <c r="E13" s="211"/>
      <c r="F13" s="211"/>
      <c r="G13" s="211"/>
      <c r="H13" s="211"/>
      <c r="I13" s="211"/>
      <c r="J13" s="211"/>
      <c r="K13" s="211"/>
      <c r="L13" s="211"/>
      <c r="M13" s="211"/>
      <c r="N13" s="211"/>
      <c r="V13" s="3"/>
      <c r="W13" s="3"/>
      <c r="X13" s="3"/>
    </row>
    <row r="14" spans="2:42" x14ac:dyDescent="0.2">
      <c r="B14" s="1" t="str">
        <f>'SCENARIO 1 - Gemiddeld'!B264</f>
        <v>Productverkoop - netto</v>
      </c>
      <c r="C14" s="1" t="str">
        <f>'SCENARIO 1 - Gemiddeld'!C264</f>
        <v>[€/a]</v>
      </c>
      <c r="D14" s="8">
        <f>'SCENARIO 2 - Beste geval'!D265</f>
        <v>677960.53091030219</v>
      </c>
      <c r="E14" s="8">
        <f>'SCENARIO 1 - Gemiddeld'!D264</f>
        <v>352768.58464537014</v>
      </c>
      <c r="F14" s="8">
        <f>'SCENARIO 3 - Slechtste geval'!D264</f>
        <v>147680.48112887764</v>
      </c>
      <c r="G14" s="8"/>
      <c r="H14" s="8">
        <f>'SCENARIO 2 - Beste geval'!E265</f>
        <v>13559.210618206045</v>
      </c>
      <c r="I14" s="8">
        <f>'SCENARIO 1 - Gemiddeld'!E264</f>
        <v>7055.3716929074035</v>
      </c>
      <c r="J14" s="8">
        <f>'SCENARIO 3 - Slechtste geval'!E264</f>
        <v>2953.6096225775536</v>
      </c>
      <c r="K14" s="8"/>
      <c r="L14" s="8">
        <f>'SCENARIO 2 - Beste geval'!F265</f>
        <v>903.94737454706956</v>
      </c>
      <c r="M14" s="8">
        <f>'SCENARIO 1 - Gemiddeld'!F264</f>
        <v>587.94764107561684</v>
      </c>
      <c r="N14" s="8">
        <f>'SCENARIO 3 - Slechtste geval'!F264</f>
        <v>328.17884695306145</v>
      </c>
      <c r="P14" t="str">
        <f>'SCENARIO 1 - Gemiddeld'!H264</f>
        <v>Melkvee op veen</v>
      </c>
      <c r="Q14" s="270" t="str">
        <f>'SCENARIO 1 - Gemiddeld'!I264</f>
        <v>[€/a]</v>
      </c>
      <c r="R14" s="3">
        <f>'SCENARIO 2 - Beste geval'!J265</f>
        <v>70357.781753130592</v>
      </c>
      <c r="S14" s="3">
        <f>'SCENARIO 1 - Gemiddeld'!J264</f>
        <v>61180.679785330947</v>
      </c>
      <c r="T14" s="3">
        <f>'SCENARIO 3 - Slechtste geval'!J264</f>
        <v>51391.771019677995</v>
      </c>
      <c r="U14" s="3"/>
      <c r="V14" s="3">
        <f>'SCENARIO 2 - Beste geval'!K265</f>
        <v>1407.1556350626117</v>
      </c>
      <c r="W14" s="3">
        <f>'SCENARIO 1 - Gemiddeld'!K264</f>
        <v>1223.613595706619</v>
      </c>
      <c r="X14" s="3">
        <f>'SCENARIO 3 - Slechtste geval'!K264</f>
        <v>1027.8354203935598</v>
      </c>
      <c r="Z14" t="str">
        <f>'SCENARIO 1 - Gemiddeld'!N264</f>
        <v>Productverkoop</v>
      </c>
      <c r="AA14" s="270" t="str">
        <f>'SCENARIO 1 - Gemiddeld'!O264</f>
        <v>[€/a]</v>
      </c>
      <c r="AB14" s="408">
        <f>'SCENARIO 2 - Beste geval'!P265</f>
        <v>0</v>
      </c>
      <c r="AC14" s="408">
        <f>'SCENARIO 1 - Gemiddeld'!P264</f>
        <v>113258.63901363313</v>
      </c>
      <c r="AD14" s="408">
        <f>'SCENARIO 3 - Slechtste geval'!P264</f>
        <v>632224.71006858558</v>
      </c>
      <c r="AE14" s="408"/>
      <c r="AF14" s="408">
        <f>'SCENARIO 2 - Beste geval'!Q265</f>
        <v>0</v>
      </c>
      <c r="AG14" s="408">
        <f>'SCENARIO 1 - Gemiddeld'!Q264</f>
        <v>2265.1727802726627</v>
      </c>
      <c r="AH14" s="408">
        <f>'SCENARIO 3 - Slechtste geval'!Q264</f>
        <v>12644.494201371712</v>
      </c>
      <c r="AI14" s="408"/>
      <c r="AJ14" s="408">
        <f>'SCENARIO 2 - Beste geval'!R265</f>
        <v>0</v>
      </c>
      <c r="AK14" s="408">
        <f>'SCENARIO 1 - Gemiddeld'!R264</f>
        <v>188.76439835605521</v>
      </c>
      <c r="AL14" s="408">
        <f>'SCENARIO 3 - Slechtste geval'!R264</f>
        <v>1404.9438001524127</v>
      </c>
      <c r="AM14" s="408"/>
      <c r="AN14" s="409">
        <f>'SCENARIO 2 - Beste geval'!T265</f>
        <v>0</v>
      </c>
      <c r="AO14" s="409">
        <f>'SCENARIO 1 - Gemiddeld'!T264</f>
        <v>151.01151868484419</v>
      </c>
      <c r="AP14" s="409">
        <f>'SCENARIO 3 - Slechtste geval'!T264</f>
        <v>842.9662800914474</v>
      </c>
    </row>
    <row r="15" spans="2:42" x14ac:dyDescent="0.2">
      <c r="B15" t="str">
        <f>'SCENARIO 1 - Gemiddeld'!B265</f>
        <v>Bouw - Inblaasisolatie</v>
      </c>
      <c r="C15" s="270" t="str">
        <f>'SCENARIO 1 - Gemiddeld'!C265</f>
        <v>[€/a]</v>
      </c>
      <c r="D15" s="3">
        <f>'SCENARIO 2 - Beste geval'!D266</f>
        <v>295496.83333333331</v>
      </c>
      <c r="E15" s="3">
        <f>'SCENARIO 1 - Gemiddeld'!D265</f>
        <v>181309.61111111109</v>
      </c>
      <c r="F15" s="3">
        <f>'SCENARIO 3 - Slechtste geval'!D265</f>
        <v>102046.38888888889</v>
      </c>
      <c r="G15" s="3"/>
      <c r="H15" s="3">
        <f>'SCENARIO 2 - Beste geval'!E266</f>
        <v>5909.9366666666665</v>
      </c>
      <c r="I15" s="3">
        <f>'SCENARIO 1 - Gemiddeld'!E265</f>
        <v>3626.192222222222</v>
      </c>
      <c r="J15" s="3">
        <f>'SCENARIO 3 - Slechtste geval'!E265</f>
        <v>2040.9277777777779</v>
      </c>
      <c r="K15" s="3"/>
      <c r="L15" s="288">
        <f>'SCENARIO 2 - Beste geval'!F266</f>
        <v>1489.9</v>
      </c>
      <c r="M15" s="288">
        <f>'SCENARIO 1 - Gemiddeld'!F265</f>
        <v>1184.5999999999999</v>
      </c>
      <c r="N15" s="288">
        <f>'SCENARIO 3 - Slechtste geval'!F265</f>
        <v>927.69444444444446</v>
      </c>
      <c r="P15" s="52" t="str">
        <f>'SCENARIO 1 - Gemiddeld'!H265</f>
        <v>Verschil lisdodde</v>
      </c>
      <c r="Q15" s="52" t="str">
        <f>'SCENARIO 1 - Gemiddeld'!I265</f>
        <v>[€/a]</v>
      </c>
      <c r="R15" s="136">
        <f>'SCENARIO 2 - Beste geval'!J266</f>
        <v>478649.77276169299</v>
      </c>
      <c r="S15" s="136">
        <f>'SCENARIO 1 - Gemiddeld'!J265</f>
        <v>-51928.139013633183</v>
      </c>
      <c r="T15" s="136">
        <f>'SCENARIO 3 - Slechtste geval'!J265</f>
        <v>-598474.71006858558</v>
      </c>
      <c r="U15" s="136"/>
      <c r="V15" s="136">
        <f>'SCENARIO 2 - Beste geval'!K266</f>
        <v>9572.9954552338604</v>
      </c>
      <c r="W15" s="136">
        <f>'SCENARIO 1 - Gemiddeld'!K265</f>
        <v>-1038.5627802726622</v>
      </c>
      <c r="X15" s="136">
        <f>'SCENARIO 3 - Slechtste geval'!K265</f>
        <v>-11969.494201371712</v>
      </c>
      <c r="Z15" s="52" t="str">
        <f>'SCENARIO 1 - Gemiddeld'!N265</f>
        <v>Excl. overige inkomsten, CO2-c. &amp; GLB-subsidie</v>
      </c>
      <c r="AB15" s="408"/>
      <c r="AC15" s="408"/>
      <c r="AD15" s="408"/>
      <c r="AE15" s="408"/>
      <c r="AF15" s="408"/>
      <c r="AG15" s="408"/>
      <c r="AH15" s="408"/>
      <c r="AI15" s="408"/>
      <c r="AJ15" s="408"/>
      <c r="AK15" s="408"/>
      <c r="AL15" s="408"/>
      <c r="AM15" s="408"/>
      <c r="AN15" s="409"/>
      <c r="AO15" s="409"/>
      <c r="AP15" s="409"/>
    </row>
    <row r="16" spans="2:42" x14ac:dyDescent="0.2">
      <c r="B16" t="str">
        <f>'SCENARIO 1 - Gemiddeld'!B266</f>
        <v>Bouw - Beton - Droge mortel - Versterker</v>
      </c>
      <c r="C16" s="270" t="str">
        <f>'SCENARIO 1 - Gemiddeld'!C266</f>
        <v>[€/a]</v>
      </c>
      <c r="D16" s="3">
        <f>'SCENARIO 2 - Beste geval'!D267</f>
        <v>65918.835034013624</v>
      </c>
      <c r="E16" s="3">
        <f>'SCENARIO 1 - Gemiddeld'!D266</f>
        <v>29229.05328798186</v>
      </c>
      <c r="F16" s="3">
        <f>'SCENARIO 3 - Slechtste geval'!D266</f>
        <v>9596.3860544217659</v>
      </c>
      <c r="G16" s="3"/>
      <c r="H16" s="3">
        <f>'SCENARIO 2 - Beste geval'!E267</f>
        <v>1318.3767006802725</v>
      </c>
      <c r="I16" s="3">
        <f>'SCENARIO 1 - Gemiddeld'!E266</f>
        <v>584.58106575963723</v>
      </c>
      <c r="J16" s="3">
        <f>'SCENARIO 3 - Slechtste geval'!E266</f>
        <v>191.92772108843531</v>
      </c>
      <c r="K16" s="3"/>
      <c r="L16" s="288">
        <f>'SCENARIO 2 - Beste geval'!F267</f>
        <v>1722.6788888888889</v>
      </c>
      <c r="M16" s="288">
        <f>'SCENARIO 1 - Gemiddeld'!F266</f>
        <v>1206.0830409356724</v>
      </c>
      <c r="N16" s="288">
        <f>'SCENARIO 3 - Slechtste geval'!F266</f>
        <v>696.62654320987644</v>
      </c>
      <c r="Q16" s="270"/>
      <c r="R16" s="3"/>
      <c r="S16" s="3"/>
      <c r="T16" s="3"/>
      <c r="U16" s="3"/>
      <c r="V16" s="3"/>
      <c r="W16" s="3"/>
      <c r="X16" s="3"/>
      <c r="AB16" s="408"/>
      <c r="AC16" s="408"/>
      <c r="AD16" s="408"/>
      <c r="AE16" s="408"/>
      <c r="AF16" s="408"/>
      <c r="AG16" s="408"/>
      <c r="AH16" s="408"/>
      <c r="AI16" s="408"/>
      <c r="AJ16" s="408"/>
      <c r="AK16" s="408"/>
      <c r="AL16" s="408"/>
      <c r="AM16" s="408"/>
      <c r="AN16" s="409"/>
      <c r="AO16" s="409"/>
      <c r="AP16" s="409"/>
    </row>
    <row r="17" spans="2:42" x14ac:dyDescent="0.2">
      <c r="B17" t="str">
        <f>'SCENARIO 1 - Gemiddeld'!B267</f>
        <v>Bouw - Isolatieplaat (Typha Board)</v>
      </c>
      <c r="C17" s="270" t="str">
        <f>'SCENARIO 1 - Gemiddeld'!C267</f>
        <v>[€/a]</v>
      </c>
      <c r="D17" s="3">
        <f>'SCENARIO 2 - Beste geval'!D268</f>
        <v>176002.44444444444</v>
      </c>
      <c r="E17" s="3">
        <f>'SCENARIO 1 - Gemiddeld'!D267</f>
        <v>89476.277777777766</v>
      </c>
      <c r="F17" s="3">
        <f>'SCENARIO 3 - Slechtste geval'!D267</f>
        <v>30546.388888888891</v>
      </c>
      <c r="G17" s="3"/>
      <c r="H17" s="3">
        <f>'SCENARIO 2 - Beste geval'!E268</f>
        <v>3520.0488888888885</v>
      </c>
      <c r="I17" s="3">
        <f>'SCENARIO 1 - Gemiddeld'!E267</f>
        <v>1789.5255555555552</v>
      </c>
      <c r="J17" s="3">
        <f>'SCENARIO 3 - Slechtste geval'!E267</f>
        <v>610.92777777777781</v>
      </c>
      <c r="K17" s="3"/>
      <c r="L17" s="288">
        <f>'SCENARIO 2 - Beste geval'!F268</f>
        <v>889.9</v>
      </c>
      <c r="M17" s="288">
        <f>'SCENARIO 1 - Gemiddeld'!F267</f>
        <v>584.6</v>
      </c>
      <c r="N17" s="288">
        <f>'SCENARIO 3 - Slechtste geval'!F267</f>
        <v>277.69444444444446</v>
      </c>
      <c r="P17" t="str">
        <f>'SCENARIO 1 - Gemiddeld'!H267</f>
        <v>Verhuur / verpachten</v>
      </c>
      <c r="Q17" s="270" t="str">
        <f>'SCENARIO 1 - Gemiddeld'!I267</f>
        <v>[€/a]</v>
      </c>
      <c r="R17" s="3">
        <f>'SCENARIO 2 - Beste geval'!J268</f>
        <v>108000</v>
      </c>
      <c r="S17" s="3">
        <f>'SCENARIO 1 - Gemiddeld'!J267</f>
        <v>37200</v>
      </c>
      <c r="T17" s="3">
        <f>'SCENARIO 3 - Slechtste geval'!J267</f>
        <v>8050</v>
      </c>
      <c r="U17" s="3"/>
      <c r="V17" s="3">
        <f>'SCENARIO 2 - Beste geval'!K268</f>
        <v>2160</v>
      </c>
      <c r="W17" s="3">
        <f>'SCENARIO 1 - Gemiddeld'!K267</f>
        <v>744</v>
      </c>
      <c r="X17" s="3">
        <f>'SCENARIO 3 - Slechtste geval'!K267</f>
        <v>161</v>
      </c>
      <c r="Z17" t="str">
        <f>'SCENARIO 1 - Gemiddeld'!N267</f>
        <v>Productverkoop &amp; GLB standaard</v>
      </c>
      <c r="AA17" s="270" t="str">
        <f>'SCENARIO 1 - Gemiddeld'!O267</f>
        <v>[€/a]</v>
      </c>
      <c r="AB17" s="408">
        <f>'SCENARIO 2 - Beste geval'!P268</f>
        <v>0</v>
      </c>
      <c r="AC17" s="408">
        <f>'SCENARIO 1 - Gemiddeld'!P267</f>
        <v>94428.139013633161</v>
      </c>
      <c r="AD17" s="408">
        <f>'SCENARIO 3 - Slechtste geval'!P267</f>
        <v>619724.71006858558</v>
      </c>
      <c r="AE17" s="408"/>
      <c r="AF17" s="408">
        <f>'SCENARIO 2 - Beste geval'!Q268</f>
        <v>0</v>
      </c>
      <c r="AG17" s="408">
        <f>'SCENARIO 1 - Gemiddeld'!Q267</f>
        <v>1888.5627802726631</v>
      </c>
      <c r="AH17" s="408">
        <f>'SCENARIO 3 - Slechtste geval'!Q267</f>
        <v>12394.494201371712</v>
      </c>
      <c r="AI17" s="408"/>
      <c r="AJ17" s="408">
        <f>'SCENARIO 2 - Beste geval'!R268</f>
        <v>0</v>
      </c>
      <c r="AK17" s="408">
        <f>'SCENARIO 1 - Gemiddeld'!R267</f>
        <v>157.38023168938861</v>
      </c>
      <c r="AL17" s="408">
        <f>'SCENARIO 3 - Slechtste geval'!R267</f>
        <v>1377.1660223746348</v>
      </c>
      <c r="AM17" s="408"/>
      <c r="AN17" s="409">
        <f>'SCENARIO 2 - Beste geval'!T268</f>
        <v>0</v>
      </c>
      <c r="AO17" s="409">
        <f>'SCENARIO 1 - Gemiddeld'!T267</f>
        <v>125.90418535151088</v>
      </c>
      <c r="AP17" s="409">
        <f>'SCENARIO 3 - Slechtste geval'!T267</f>
        <v>826.29961342478077</v>
      </c>
    </row>
    <row r="18" spans="2:42" x14ac:dyDescent="0.2">
      <c r="B18" t="str">
        <f>'SCENARIO 1 - Gemiddeld'!B268</f>
        <v xml:space="preserve">Plastics - Spuitgieten - Vuller </v>
      </c>
      <c r="C18" s="270" t="str">
        <f>'SCENARIO 1 - Gemiddeld'!C268</f>
        <v>[€/a]</v>
      </c>
      <c r="D18" s="3">
        <f>'SCENARIO 2 - Beste geval'!D269</f>
        <v>84195.529209621993</v>
      </c>
      <c r="E18" s="3">
        <f>'SCENARIO 1 - Gemiddeld'!D268</f>
        <v>28108.742468499426</v>
      </c>
      <c r="F18" s="3">
        <f>'SCENARIO 3 - Slechtste geval'!D268</f>
        <v>-401.22436998853664</v>
      </c>
      <c r="G18" s="3"/>
      <c r="H18" s="3">
        <f>'SCENARIO 2 - Beste geval'!E269</f>
        <v>1683.91058419244</v>
      </c>
      <c r="I18" s="3">
        <f>'SCENARIO 1 - Gemiddeld'!E268</f>
        <v>562.17484936998846</v>
      </c>
      <c r="J18" s="3">
        <f>'SCENARIO 3 - Slechtste geval'!E268</f>
        <v>-8.0244873997707327</v>
      </c>
      <c r="K18" s="3"/>
      <c r="L18" s="288">
        <f>'SCENARIO 2 - Beste geval'!F269</f>
        <v>458.81833333333333</v>
      </c>
      <c r="M18" s="288">
        <f>'SCENARIO 1 - Gemiddeld'!F268</f>
        <v>231.5023631202763</v>
      </c>
      <c r="N18" s="288">
        <f>'SCENARIO 3 - Slechtste geval'!F268</f>
        <v>-5.1388081981762923</v>
      </c>
      <c r="P18" s="52" t="str">
        <f>'SCENARIO 1 - Gemiddeld'!H268</f>
        <v>Verschil lisdodde</v>
      </c>
      <c r="Q18" s="52" t="str">
        <f>'SCENARIO 1 - Gemiddeld'!I268</f>
        <v>[€/a]</v>
      </c>
      <c r="R18" s="136">
        <f>'SCENARIO 2 - Beste geval'!J269</f>
        <v>441007.5545148236</v>
      </c>
      <c r="S18" s="136">
        <f>'SCENARIO 1 - Gemiddeld'!J268</f>
        <v>-27947.459228302236</v>
      </c>
      <c r="T18" s="136">
        <f>'SCENARIO 3 - Slechtste geval'!J268</f>
        <v>-555132.9390489076</v>
      </c>
      <c r="U18" s="136"/>
      <c r="V18" s="136">
        <f>'SCENARIO 2 - Beste geval'!K269</f>
        <v>8820.1510902964728</v>
      </c>
      <c r="W18" s="136">
        <f>'SCENARIO 1 - Gemiddeld'!K268</f>
        <v>-558.94918456604319</v>
      </c>
      <c r="X18" s="136">
        <f>'SCENARIO 3 - Slechtste geval'!K268</f>
        <v>-11102.658780978152</v>
      </c>
      <c r="Z18" s="52" t="str">
        <f>'SCENARIO 1 - Gemiddeld'!N268</f>
        <v>Excl. overige inkomsten, CO2-c. &amp; beoogde GLB</v>
      </c>
      <c r="AB18" s="408"/>
      <c r="AC18" s="408"/>
      <c r="AD18" s="408"/>
      <c r="AE18" s="408"/>
      <c r="AF18" s="408"/>
      <c r="AG18" s="408"/>
      <c r="AH18" s="408"/>
      <c r="AI18" s="408"/>
      <c r="AJ18" s="408"/>
      <c r="AK18" s="408"/>
      <c r="AL18" s="408"/>
      <c r="AM18" s="408"/>
      <c r="AN18" s="409"/>
      <c r="AO18" s="409"/>
      <c r="AP18" s="409"/>
    </row>
    <row r="19" spans="2:42" x14ac:dyDescent="0.2">
      <c r="B19" t="str">
        <f>'SCENARIO 1 - Gemiddeld'!B269</f>
        <v>Papier - Massief karton - Vuller</v>
      </c>
      <c r="C19" s="270" t="str">
        <f>'SCENARIO 1 - Gemiddeld'!C269</f>
        <v>[€/a]</v>
      </c>
      <c r="D19" s="3">
        <f>'SCENARIO 2 - Beste geval'!D270</f>
        <v>56346.888888888883</v>
      </c>
      <c r="E19" s="3">
        <f>'SCENARIO 1 - Gemiddeld'!D269</f>
        <v>24644.9</v>
      </c>
      <c r="F19" s="3">
        <f>'SCENARIO 3 - Slechtste geval'!D269</f>
        <v>5892.541666666667</v>
      </c>
      <c r="G19" s="3"/>
      <c r="H19" s="3">
        <f>'SCENARIO 2 - Beste geval'!E270</f>
        <v>1126.9377777777777</v>
      </c>
      <c r="I19" s="3">
        <f>'SCENARIO 1 - Gemiddeld'!E269</f>
        <v>492.89800000000002</v>
      </c>
      <c r="J19" s="3">
        <f>'SCENARIO 3 - Slechtste geval'!E269</f>
        <v>117.85083333333334</v>
      </c>
      <c r="K19" s="3"/>
      <c r="L19" s="288">
        <f>'SCENARIO 2 - Beste geval'!F270</f>
        <v>284.89999999999998</v>
      </c>
      <c r="M19" s="288">
        <f>'SCENARIO 1 - Gemiddeld'!F269</f>
        <v>175.54736842105262</v>
      </c>
      <c r="N19" s="288">
        <f>'SCENARIO 3 - Slechtste geval'!F269</f>
        <v>62.354938271604944</v>
      </c>
      <c r="Q19" s="270"/>
      <c r="R19" s="3"/>
      <c r="S19" s="3"/>
      <c r="T19" s="3"/>
      <c r="U19" s="3"/>
      <c r="V19" s="3"/>
      <c r="W19" s="3"/>
      <c r="X19" s="3"/>
      <c r="AB19" s="408"/>
      <c r="AC19" s="408"/>
      <c r="AD19" s="408"/>
      <c r="AE19" s="408"/>
      <c r="AF19" s="408"/>
      <c r="AG19" s="408"/>
      <c r="AH19" s="408"/>
      <c r="AI19" s="408"/>
      <c r="AJ19" s="408"/>
      <c r="AK19" s="408"/>
      <c r="AL19" s="408"/>
      <c r="AM19" s="408"/>
      <c r="AN19" s="409"/>
      <c r="AO19" s="409"/>
      <c r="AP19" s="409"/>
    </row>
    <row r="20" spans="2:42" x14ac:dyDescent="0.2">
      <c r="C20" s="270"/>
      <c r="D20" s="3"/>
      <c r="E20" s="3"/>
      <c r="F20" s="3"/>
      <c r="G20" s="3"/>
      <c r="H20" s="3"/>
      <c r="I20" s="3"/>
      <c r="J20" s="3"/>
      <c r="K20" s="3"/>
      <c r="L20" s="3"/>
      <c r="M20" s="3"/>
      <c r="N20" s="3"/>
      <c r="P20" t="str">
        <f>'SCENARIO 1 - Gemiddeld'!H270</f>
        <v>Zonnepanelen</v>
      </c>
      <c r="Q20" s="270" t="str">
        <f>'SCENARIO 1 - Gemiddeld'!I270</f>
        <v>[€/a]</v>
      </c>
      <c r="R20" s="3">
        <f>'SCENARIO 2 - Beste geval'!J271</f>
        <v>191800</v>
      </c>
      <c r="S20" s="3">
        <f>'SCENARIO 1 - Gemiddeld'!J270</f>
        <v>145469.50000000003</v>
      </c>
      <c r="T20" s="3">
        <f>'SCENARIO 3 - Slechtste geval'!J270</f>
        <v>101800</v>
      </c>
      <c r="U20" s="3"/>
      <c r="V20" s="3">
        <f>'SCENARIO 2 - Beste geval'!K271</f>
        <v>3836</v>
      </c>
      <c r="W20" s="3">
        <f>'SCENARIO 1 - Gemiddeld'!K270</f>
        <v>2909.3900000000008</v>
      </c>
      <c r="X20" s="3">
        <f>'SCENARIO 3 - Slechtste geval'!K270</f>
        <v>2036</v>
      </c>
      <c r="Z20" t="str">
        <f>'SCENARIO 1 - Gemiddeld'!N270</f>
        <v>Productverkoop, GLB stand. &amp; overige</v>
      </c>
      <c r="AA20" s="270" t="str">
        <f>'SCENARIO 1 - Gemiddeld'!O270</f>
        <v>[€/a]</v>
      </c>
      <c r="AB20" s="408">
        <f>'SCENARIO 2 - Beste geval'!P271</f>
        <v>0</v>
      </c>
      <c r="AC20" s="408">
        <f>'SCENARIO 1 - Gemiddeld'!P270</f>
        <v>81928.139013633161</v>
      </c>
      <c r="AD20" s="408">
        <f>'SCENARIO 3 - Slechtste geval'!P270</f>
        <v>613474.71006858558</v>
      </c>
      <c r="AE20" s="408"/>
      <c r="AF20" s="408">
        <f>'SCENARIO 2 - Beste geval'!Q271</f>
        <v>0</v>
      </c>
      <c r="AG20" s="408">
        <f>'SCENARIO 1 - Gemiddeld'!Q270</f>
        <v>1638.5627802726631</v>
      </c>
      <c r="AH20" s="408">
        <f>'SCENARIO 3 - Slechtste geval'!Q270</f>
        <v>12269.494201371712</v>
      </c>
      <c r="AI20" s="408"/>
      <c r="AJ20" s="408">
        <f>'SCENARIO 2 - Beste geval'!R271</f>
        <v>0</v>
      </c>
      <c r="AK20" s="408">
        <f>'SCENARIO 1 - Gemiddeld'!R270</f>
        <v>136.54689835605527</v>
      </c>
      <c r="AL20" s="408">
        <f>'SCENARIO 3 - Slechtste geval'!R270</f>
        <v>1363.2771334857459</v>
      </c>
      <c r="AM20" s="408"/>
      <c r="AN20" s="409">
        <f>'SCENARIO 2 - Beste geval'!T271</f>
        <v>0</v>
      </c>
      <c r="AO20" s="409">
        <f>'SCENARIO 1 - Gemiddeld'!T270</f>
        <v>109.2375186848442</v>
      </c>
      <c r="AP20" s="409">
        <f>'SCENARIO 3 - Slechtste geval'!T270</f>
        <v>817.9662800914474</v>
      </c>
    </row>
    <row r="21" spans="2:42" x14ac:dyDescent="0.2">
      <c r="B21" s="1" t="str">
        <f>'SCENARIO 1 - Gemiddeld'!B272</f>
        <v xml:space="preserve">Overige inkomsten </v>
      </c>
      <c r="C21" s="1" t="str">
        <f>'SCENARIO 1 - Gemiddeld'!C272</f>
        <v>[€/a]</v>
      </c>
      <c r="D21" s="8">
        <f>'SCENARIO 2 - Beste geval'!D273</f>
        <v>25000</v>
      </c>
      <c r="E21" s="8">
        <f>'SCENARIO 1 - Gemiddeld'!D272</f>
        <v>12500</v>
      </c>
      <c r="F21" s="8">
        <f>'SCENARIO 3 - Slechtste geval'!D272</f>
        <v>6250</v>
      </c>
      <c r="G21" s="8"/>
      <c r="H21" s="8">
        <f>'SCENARIO 2 - Beste geval'!E273</f>
        <v>500</v>
      </c>
      <c r="I21" s="8">
        <f>'SCENARIO 1 - Gemiddeld'!E272</f>
        <v>250</v>
      </c>
      <c r="J21" s="8">
        <f>'SCENARIO 3 - Slechtste geval'!E272</f>
        <v>125</v>
      </c>
      <c r="K21" s="8"/>
      <c r="L21" s="8">
        <f>'SCENARIO 2 - Beste geval'!F273</f>
        <v>33.333333333333336</v>
      </c>
      <c r="M21" s="8">
        <f>'SCENARIO 1 - Gemiddeld'!F272</f>
        <v>20.833333333333336</v>
      </c>
      <c r="N21" s="8">
        <f>'SCENARIO 3 - Slechtste geval'!F272</f>
        <v>13.888888888888891</v>
      </c>
      <c r="P21" s="52" t="str">
        <f>'SCENARIO 1 - Gemiddeld'!H271</f>
        <v>Verschil lisdodde</v>
      </c>
      <c r="Q21" s="52" t="str">
        <f>'SCENARIO 1 - Gemiddeld'!I271</f>
        <v>[€/a]</v>
      </c>
      <c r="R21" s="136">
        <f>'SCENARIO 2 - Beste geval'!J272</f>
        <v>357207.5545148236</v>
      </c>
      <c r="S21" s="136">
        <f>'SCENARIO 1 - Gemiddeld'!J271</f>
        <v>-136216.95922830226</v>
      </c>
      <c r="T21" s="136">
        <f>'SCENARIO 3 - Slechtste geval'!J271</f>
        <v>-648882.9390489076</v>
      </c>
      <c r="U21" s="136"/>
      <c r="V21" s="136">
        <f>'SCENARIO 2 - Beste geval'!K272</f>
        <v>7144.1510902964728</v>
      </c>
      <c r="W21" s="136">
        <f>'SCENARIO 1 - Gemiddeld'!K271</f>
        <v>-2724.339184566044</v>
      </c>
      <c r="X21" s="136">
        <f>'SCENARIO 3 - Slechtste geval'!K271</f>
        <v>-12977.658780978152</v>
      </c>
      <c r="Z21" s="52" t="str">
        <f>'SCENARIO 1 - Gemiddeld'!N271</f>
        <v>Excl. CO2-c. &amp; beoogde GLB vernatten veen</v>
      </c>
      <c r="AB21" s="408"/>
      <c r="AC21" s="408"/>
      <c r="AD21" s="408"/>
      <c r="AE21" s="408"/>
      <c r="AF21" s="408"/>
      <c r="AG21" s="408"/>
      <c r="AH21" s="408"/>
      <c r="AI21" s="408"/>
      <c r="AJ21" s="408"/>
      <c r="AK21" s="408"/>
      <c r="AL21" s="408"/>
      <c r="AM21" s="408"/>
      <c r="AN21" s="409"/>
      <c r="AO21" s="409"/>
      <c r="AP21" s="409"/>
    </row>
    <row r="22" spans="2:42" x14ac:dyDescent="0.2">
      <c r="B22" t="str">
        <f>'SCENARIO 1 - Gemiddeld'!B273</f>
        <v>Natuurbeheerpakket</v>
      </c>
      <c r="C22" s="270" t="str">
        <f>'SCENARIO 1 - Gemiddeld'!C273</f>
        <v>[€/a]</v>
      </c>
      <c r="D22" s="3">
        <f>'SCENARIO 2 - Beste geval'!D274</f>
        <v>20000</v>
      </c>
      <c r="E22" s="3">
        <f>'SCENARIO 1 - Gemiddeld'!D273</f>
        <v>10000</v>
      </c>
      <c r="F22" s="3">
        <f>'SCENARIO 3 - Slechtste geval'!D273</f>
        <v>5000</v>
      </c>
      <c r="G22" s="3"/>
      <c r="H22" s="3">
        <f>'SCENARIO 2 - Beste geval'!E274</f>
        <v>400</v>
      </c>
      <c r="I22" s="3">
        <f>'SCENARIO 1 - Gemiddeld'!E273</f>
        <v>200</v>
      </c>
      <c r="J22" s="3">
        <f>'SCENARIO 3 - Slechtste geval'!E273</f>
        <v>100</v>
      </c>
      <c r="K22" s="3"/>
      <c r="L22" s="3">
        <f>'SCENARIO 2 - Beste geval'!F274</f>
        <v>26.666666666666668</v>
      </c>
      <c r="M22" s="3">
        <f>'SCENARIO 1 - Gemiddeld'!F273</f>
        <v>16.666666666666668</v>
      </c>
      <c r="N22" s="3">
        <f>'SCENARIO 3 - Slechtste geval'!F273</f>
        <v>11.111111111111112</v>
      </c>
      <c r="Q22" s="270"/>
      <c r="R22" s="3"/>
      <c r="S22" s="3"/>
      <c r="T22" s="3"/>
      <c r="U22" s="3"/>
      <c r="V22" s="3"/>
      <c r="W22" s="3"/>
      <c r="X22" s="3"/>
      <c r="AB22" s="408"/>
      <c r="AC22" s="408"/>
      <c r="AD22" s="408"/>
      <c r="AE22" s="408"/>
      <c r="AF22" s="408"/>
      <c r="AG22" s="408"/>
      <c r="AH22" s="408"/>
      <c r="AI22" s="408"/>
      <c r="AJ22" s="408"/>
      <c r="AK22" s="408"/>
      <c r="AL22" s="408"/>
      <c r="AM22" s="408"/>
      <c r="AN22" s="409"/>
      <c r="AO22" s="409"/>
      <c r="AP22" s="409"/>
    </row>
    <row r="23" spans="2:42" x14ac:dyDescent="0.2">
      <c r="B23" t="str">
        <f>'SCENARIO 1 - Gemiddeld'!B274</f>
        <v>Waterbuffering</v>
      </c>
      <c r="C23" s="270" t="str">
        <f>'SCENARIO 1 - Gemiddeld'!C274</f>
        <v>[€/a]</v>
      </c>
      <c r="D23" s="3">
        <f>'SCENARIO 2 - Beste geval'!D275</f>
        <v>5000</v>
      </c>
      <c r="E23" s="3">
        <f>'SCENARIO 1 - Gemiddeld'!D274</f>
        <v>2500</v>
      </c>
      <c r="F23" s="3">
        <f>'SCENARIO 3 - Slechtste geval'!D274</f>
        <v>1250</v>
      </c>
      <c r="G23" s="3"/>
      <c r="H23" s="3">
        <f>'SCENARIO 2 - Beste geval'!E275</f>
        <v>100</v>
      </c>
      <c r="I23" s="3">
        <f>'SCENARIO 1 - Gemiddeld'!E274</f>
        <v>50</v>
      </c>
      <c r="J23" s="3">
        <f>'SCENARIO 3 - Slechtste geval'!E274</f>
        <v>25</v>
      </c>
      <c r="K23" s="3"/>
      <c r="L23" s="3">
        <f>'SCENARIO 2 - Beste geval'!F275</f>
        <v>6.666666666666667</v>
      </c>
      <c r="M23" s="3">
        <f>'SCENARIO 1 - Gemiddeld'!F274</f>
        <v>4.166666666666667</v>
      </c>
      <c r="N23" s="3">
        <f>'SCENARIO 3 - Slechtste geval'!F274</f>
        <v>2.7777777777777781</v>
      </c>
      <c r="P23" t="str">
        <f>'SCENARIO 1 - Gemiddeld'!H273</f>
        <v>-</v>
      </c>
      <c r="Q23" s="270" t="str">
        <f>'SCENARIO 1 - Gemiddeld'!I273</f>
        <v>-</v>
      </c>
      <c r="R23" s="3">
        <f>'SCENARIO 2 - Beste geval'!J274</f>
        <v>0</v>
      </c>
      <c r="S23" s="3">
        <f>'SCENARIO 1 - Gemiddeld'!J273</f>
        <v>0</v>
      </c>
      <c r="T23" s="3">
        <f>'SCENARIO 3 - Slechtste geval'!J273</f>
        <v>0</v>
      </c>
      <c r="U23" s="3"/>
      <c r="V23" s="3">
        <f>'SCENARIO 2 - Beste geval'!K274</f>
        <v>0</v>
      </c>
      <c r="W23" s="3">
        <f>'SCENARIO 1 - Gemiddeld'!K273</f>
        <v>0</v>
      </c>
      <c r="X23" s="3">
        <f>'SCENARIO 3 - Slechtste geval'!K273</f>
        <v>0</v>
      </c>
      <c r="Z23" s="270" t="str">
        <f>'SCENARIO 1 - Gemiddeld'!N273</f>
        <v>Productverk., GLB st., overige &amp; CO2-c.</v>
      </c>
      <c r="AA23" s="270" t="str">
        <f>'SCENARIO 1 - Gemiddeld'!O273</f>
        <v>[€/a]</v>
      </c>
      <c r="AB23" s="408">
        <f>'SCENARIO 2 - Beste geval'!P274</f>
        <v>0</v>
      </c>
      <c r="AC23" s="408">
        <f>'SCENARIO 1 - Gemiddeld'!P273</f>
        <v>51928.13901363311</v>
      </c>
      <c r="AD23" s="408">
        <f>'SCENARIO 3 - Slechtste geval'!P273</f>
        <v>598474.71006858558</v>
      </c>
      <c r="AE23" s="408"/>
      <c r="AF23" s="408">
        <f>'SCENARIO 2 - Beste geval'!Q274</f>
        <v>0</v>
      </c>
      <c r="AG23" s="408">
        <f>'SCENARIO 1 - Gemiddeld'!Q273</f>
        <v>1038.5627802726622</v>
      </c>
      <c r="AH23" s="408">
        <f>'SCENARIO 3 - Slechtste geval'!Q273</f>
        <v>11969.494201371712</v>
      </c>
      <c r="AI23" s="408"/>
      <c r="AJ23" s="408">
        <f>'SCENARIO 2 - Beste geval'!R274</f>
        <v>0</v>
      </c>
      <c r="AK23" s="408">
        <f>'SCENARIO 1 - Gemiddeld'!R273</f>
        <v>86.546898356055181</v>
      </c>
      <c r="AL23" s="408">
        <f>'SCENARIO 3 - Slechtste geval'!R273</f>
        <v>1329.9438001524127</v>
      </c>
      <c r="AM23" s="408"/>
      <c r="AN23" s="409">
        <f>'SCENARIO 2 - Beste geval'!T274</f>
        <v>0</v>
      </c>
      <c r="AO23" s="409">
        <f>'SCENARIO 1 - Gemiddeld'!T273</f>
        <v>69.237518684844147</v>
      </c>
      <c r="AP23" s="409">
        <f>'SCENARIO 3 - Slechtste geval'!T273</f>
        <v>797.9662800914474</v>
      </c>
    </row>
    <row r="24" spans="2:42" x14ac:dyDescent="0.2">
      <c r="B24" t="str">
        <f>'SCENARIO 1 - Gemiddeld'!B275</f>
        <v>Overige ecosysteemdiensten</v>
      </c>
      <c r="C24" s="270" t="str">
        <f>'SCENARIO 1 - Gemiddeld'!C275</f>
        <v>[€/a]</v>
      </c>
      <c r="D24" s="3">
        <f>'SCENARIO 2 - Beste geval'!D276</f>
        <v>0</v>
      </c>
      <c r="E24" s="3">
        <f>'SCENARIO 1 - Gemiddeld'!D275</f>
        <v>0</v>
      </c>
      <c r="F24" s="3">
        <f>'SCENARIO 3 - Slechtste geval'!D275</f>
        <v>0</v>
      </c>
      <c r="G24" s="3"/>
      <c r="H24" s="3">
        <f>'SCENARIO 2 - Beste geval'!E276</f>
        <v>0</v>
      </c>
      <c r="I24" s="3">
        <f>'SCENARIO 1 - Gemiddeld'!E275</f>
        <v>0</v>
      </c>
      <c r="J24" s="3">
        <f>'SCENARIO 3 - Slechtste geval'!E275</f>
        <v>0</v>
      </c>
      <c r="K24" s="3"/>
      <c r="L24" s="3">
        <f>'SCENARIO 2 - Beste geval'!F276</f>
        <v>0</v>
      </c>
      <c r="M24" s="3">
        <f>'SCENARIO 1 - Gemiddeld'!F275</f>
        <v>0</v>
      </c>
      <c r="N24" s="3">
        <f>'SCENARIO 3 - Slechtste geval'!F275</f>
        <v>0</v>
      </c>
      <c r="P24" s="52" t="str">
        <f>'SCENARIO 1 - Gemiddeld'!H274</f>
        <v>-</v>
      </c>
      <c r="Q24" s="52" t="str">
        <f>'SCENARIO 1 - Gemiddeld'!I274</f>
        <v>-</v>
      </c>
      <c r="R24" s="136">
        <f>'SCENARIO 2 - Beste geval'!J275</f>
        <v>0</v>
      </c>
      <c r="S24" s="136">
        <f>'SCENARIO 1 - Gemiddeld'!J274</f>
        <v>0</v>
      </c>
      <c r="T24" s="136">
        <f>'SCENARIO 3 - Slechtste geval'!J274</f>
        <v>0</v>
      </c>
      <c r="U24" s="136"/>
      <c r="V24" s="136">
        <f>'SCENARIO 2 - Beste geval'!K275</f>
        <v>0</v>
      </c>
      <c r="W24" s="136">
        <f>'SCENARIO 1 - Gemiddeld'!K274</f>
        <v>0</v>
      </c>
      <c r="X24" s="136">
        <f>'SCENARIO 3 - Slechtste geval'!K274</f>
        <v>0</v>
      </c>
      <c r="Z24" s="52" t="str">
        <f>'SCENARIO 1 - Gemiddeld'!N274</f>
        <v>Excl. beoogde GLB vernatten veen</v>
      </c>
      <c r="AB24" s="408"/>
      <c r="AC24" s="408"/>
      <c r="AD24" s="408"/>
      <c r="AE24" s="408"/>
      <c r="AF24" s="408"/>
      <c r="AG24" s="408"/>
      <c r="AH24" s="408"/>
      <c r="AI24" s="408"/>
      <c r="AJ24" s="408"/>
      <c r="AK24" s="408"/>
      <c r="AL24" s="408"/>
      <c r="AM24" s="408"/>
      <c r="AN24" s="409"/>
      <c r="AO24" s="409"/>
      <c r="AP24" s="409"/>
    </row>
    <row r="25" spans="2:42" x14ac:dyDescent="0.2">
      <c r="B25" t="str">
        <f>'SCENARIO 1 - Gemiddeld'!B276</f>
        <v>-</v>
      </c>
      <c r="C25" s="270" t="str">
        <f>'SCENARIO 1 - Gemiddeld'!C276</f>
        <v>[€/a]</v>
      </c>
      <c r="D25" s="3">
        <f>'SCENARIO 2 - Beste geval'!D277</f>
        <v>0</v>
      </c>
      <c r="E25" s="3">
        <f>'SCENARIO 1 - Gemiddeld'!D276</f>
        <v>0</v>
      </c>
      <c r="F25" s="3">
        <f>'SCENARIO 3 - Slechtste geval'!D276</f>
        <v>0</v>
      </c>
      <c r="G25" s="3"/>
      <c r="H25" s="3">
        <f>'SCENARIO 2 - Beste geval'!E277</f>
        <v>0</v>
      </c>
      <c r="I25" s="3">
        <f>'SCENARIO 1 - Gemiddeld'!E276</f>
        <v>0</v>
      </c>
      <c r="J25" s="3">
        <f>'SCENARIO 3 - Slechtste geval'!E276</f>
        <v>0</v>
      </c>
      <c r="K25" s="3"/>
      <c r="L25" s="3">
        <f>'SCENARIO 2 - Beste geval'!F277</f>
        <v>0</v>
      </c>
      <c r="M25" s="3">
        <f>'SCENARIO 1 - Gemiddeld'!F276</f>
        <v>0</v>
      </c>
      <c r="N25" s="3">
        <f>'SCENARIO 3 - Slechtste geval'!F276</f>
        <v>0</v>
      </c>
      <c r="Q25" s="270"/>
      <c r="R25" s="3"/>
      <c r="S25" s="3"/>
      <c r="T25" s="3"/>
      <c r="U25" s="3"/>
      <c r="V25" s="3"/>
      <c r="W25" s="3"/>
      <c r="X25" s="3"/>
      <c r="AB25" s="408"/>
      <c r="AC25" s="408"/>
      <c r="AD25" s="408"/>
      <c r="AE25" s="408"/>
      <c r="AF25" s="408"/>
      <c r="AG25" s="408"/>
      <c r="AH25" s="408"/>
      <c r="AI25" s="408"/>
      <c r="AJ25" s="408"/>
      <c r="AK25" s="408"/>
      <c r="AL25" s="408"/>
      <c r="AM25" s="408"/>
      <c r="AN25" s="409"/>
      <c r="AO25" s="409"/>
      <c r="AP25" s="409"/>
    </row>
    <row r="26" spans="2:42" x14ac:dyDescent="0.2">
      <c r="B26" t="str">
        <f>'SCENARIO 1 - Gemiddeld'!B277</f>
        <v>-</v>
      </c>
      <c r="C26" s="270" t="str">
        <f>'SCENARIO 1 - Gemiddeld'!C277</f>
        <v>[€/a]</v>
      </c>
      <c r="D26" s="3">
        <f>'SCENARIO 2 - Beste geval'!D278</f>
        <v>0</v>
      </c>
      <c r="E26" s="3">
        <f>'SCENARIO 1 - Gemiddeld'!D277</f>
        <v>0</v>
      </c>
      <c r="F26" s="3">
        <f>'SCENARIO 3 - Slechtste geval'!D277</f>
        <v>0</v>
      </c>
      <c r="G26" s="3"/>
      <c r="H26" s="3">
        <f>'SCENARIO 2 - Beste geval'!E278</f>
        <v>0</v>
      </c>
      <c r="I26" s="3">
        <f>'SCENARIO 1 - Gemiddeld'!E277</f>
        <v>0</v>
      </c>
      <c r="J26" s="3">
        <f>'SCENARIO 3 - Slechtste geval'!E277</f>
        <v>0</v>
      </c>
      <c r="K26" s="3"/>
      <c r="L26" s="3">
        <f>'SCENARIO 2 - Beste geval'!F278</f>
        <v>0</v>
      </c>
      <c r="M26" s="3">
        <f>'SCENARIO 1 - Gemiddeld'!F277</f>
        <v>0</v>
      </c>
      <c r="N26" s="3">
        <f>'SCENARIO 3 - Slechtste geval'!F277</f>
        <v>0</v>
      </c>
      <c r="P26" t="str">
        <f>'SCENARIO 1 - Gemiddeld'!H276</f>
        <v>-</v>
      </c>
      <c r="Q26" s="270" t="str">
        <f>'SCENARIO 1 - Gemiddeld'!I276</f>
        <v>-</v>
      </c>
      <c r="R26" s="3">
        <f>'SCENARIO 2 - Beste geval'!J277</f>
        <v>0</v>
      </c>
      <c r="S26" s="3">
        <f>'SCENARIO 1 - Gemiddeld'!J276</f>
        <v>0</v>
      </c>
      <c r="T26" s="3">
        <f>'SCENARIO 3 - Slechtste geval'!J276</f>
        <v>0</v>
      </c>
      <c r="U26" s="3"/>
      <c r="V26" s="3">
        <f>'SCENARIO 2 - Beste geval'!K277</f>
        <v>0</v>
      </c>
      <c r="W26" s="3">
        <f>'SCENARIO 1 - Gemiddeld'!K276</f>
        <v>0</v>
      </c>
      <c r="X26" s="3">
        <f>'SCENARIO 3 - Slechtste geval'!K276</f>
        <v>0</v>
      </c>
      <c r="Z26" s="38" t="str">
        <f>'SCENARIO 1 - Gemiddeld'!N276</f>
        <v>Productverk., GLB beide, overige &amp; CO2</v>
      </c>
      <c r="AA26" s="270" t="str">
        <f>'SCENARIO 1 - Gemiddeld'!O276</f>
        <v>[€/a]</v>
      </c>
      <c r="AB26" s="408">
        <f>'SCENARIO 2 - Beste geval'!P277</f>
        <v>0</v>
      </c>
      <c r="AC26" s="408">
        <f>'SCENARIO 1 - Gemiddeld'!P276</f>
        <v>51928.13901363311</v>
      </c>
      <c r="AD26" s="408">
        <f>'SCENARIO 3 - Slechtste geval'!P276</f>
        <v>598474.71006858558</v>
      </c>
      <c r="AE26" s="408"/>
      <c r="AF26" s="408">
        <f>'SCENARIO 2 - Beste geval'!Q277</f>
        <v>0</v>
      </c>
      <c r="AG26" s="408">
        <f>'SCENARIO 1 - Gemiddeld'!Q276</f>
        <v>1038.5627802726622</v>
      </c>
      <c r="AH26" s="408">
        <f>'SCENARIO 3 - Slechtste geval'!Q276</f>
        <v>11969.494201371712</v>
      </c>
      <c r="AI26" s="408"/>
      <c r="AJ26" s="408">
        <f>'SCENARIO 2 - Beste geval'!R277</f>
        <v>0</v>
      </c>
      <c r="AK26" s="408">
        <f>'SCENARIO 1 - Gemiddeld'!R276</f>
        <v>86.546898356055181</v>
      </c>
      <c r="AL26" s="408">
        <f>'SCENARIO 3 - Slechtste geval'!R276</f>
        <v>1329.9438001524127</v>
      </c>
      <c r="AM26" s="408"/>
      <c r="AN26" s="409">
        <f>'SCENARIO 2 - Beste geval'!T277</f>
        <v>0</v>
      </c>
      <c r="AO26" s="409">
        <f>'SCENARIO 1 - Gemiddeld'!T276</f>
        <v>69.237518684844147</v>
      </c>
      <c r="AP26" s="409">
        <f>'SCENARIO 3 - Slechtste geval'!T276</f>
        <v>797.9662800914474</v>
      </c>
    </row>
    <row r="27" spans="2:42" x14ac:dyDescent="0.2">
      <c r="C27" s="270"/>
      <c r="D27" s="2"/>
      <c r="E27" s="2"/>
      <c r="F27" s="2"/>
      <c r="G27" s="2"/>
      <c r="H27" s="2"/>
      <c r="I27" s="2"/>
      <c r="J27" s="2"/>
      <c r="K27" s="2"/>
      <c r="L27" s="2"/>
      <c r="M27" s="2"/>
      <c r="N27" s="2"/>
      <c r="P27" s="52" t="str">
        <f>'SCENARIO 1 - Gemiddeld'!H277</f>
        <v>-</v>
      </c>
      <c r="Q27" s="52" t="str">
        <f>'SCENARIO 1 - Gemiddeld'!I277</f>
        <v>-</v>
      </c>
      <c r="R27" s="136">
        <f>'SCENARIO 2 - Beste geval'!J278</f>
        <v>0</v>
      </c>
      <c r="S27" s="136">
        <f>'SCENARIO 1 - Gemiddeld'!J277</f>
        <v>0</v>
      </c>
      <c r="T27" s="136">
        <f>'SCENARIO 3 - Slechtste geval'!J277</f>
        <v>0</v>
      </c>
      <c r="U27" s="136"/>
      <c r="V27" s="136">
        <f>'SCENARIO 2 - Beste geval'!K278</f>
        <v>0</v>
      </c>
      <c r="W27" s="136">
        <f>'SCENARIO 1 - Gemiddeld'!K277</f>
        <v>0</v>
      </c>
      <c r="X27" s="136">
        <f>'SCENARIO 3 - Slechtste geval'!K277</f>
        <v>0</v>
      </c>
    </row>
    <row r="28" spans="2:42" x14ac:dyDescent="0.2">
      <c r="B28" s="1" t="str">
        <f>'SCENARIO 1 - Gemiddeld'!B280</f>
        <v>Inkomsten CO2-certificaten</v>
      </c>
      <c r="C28" s="1" t="str">
        <f>'SCENARIO 1 - Gemiddeld'!C280</f>
        <v>[€/a]</v>
      </c>
      <c r="D28" s="402">
        <f>'SCENARIO 2 - Beste geval'!D281</f>
        <v>45000</v>
      </c>
      <c r="E28" s="402">
        <f>'SCENARIO 1 - Gemiddeld'!D280</f>
        <v>30000</v>
      </c>
      <c r="F28" s="402">
        <f>'SCENARIO 3 - Slechtste geval'!D280</f>
        <v>15000</v>
      </c>
      <c r="G28" s="402"/>
      <c r="H28" s="8">
        <f>'SCENARIO 2 - Beste geval'!E281</f>
        <v>900</v>
      </c>
      <c r="I28" s="8">
        <f>'SCENARIO 1 - Gemiddeld'!E280</f>
        <v>600</v>
      </c>
      <c r="J28" s="8">
        <f>'SCENARIO 3 - Slechtste geval'!E280</f>
        <v>300</v>
      </c>
      <c r="K28" s="8"/>
      <c r="L28" s="8">
        <f>'SCENARIO 2 - Beste geval'!F281</f>
        <v>60</v>
      </c>
      <c r="M28" s="8">
        <f>'SCENARIO 1 - Gemiddeld'!F280</f>
        <v>50</v>
      </c>
      <c r="N28" s="8">
        <f>'SCENARIO 3 - Slechtste geval'!F280</f>
        <v>33.333333333333336</v>
      </c>
      <c r="P28" s="52"/>
      <c r="S28" s="3"/>
      <c r="T28" s="3"/>
      <c r="U28" s="3"/>
    </row>
    <row r="29" spans="2:42" x14ac:dyDescent="0.2">
      <c r="C29" s="270"/>
      <c r="D29" s="2"/>
      <c r="E29" s="2"/>
      <c r="F29" s="2"/>
      <c r="G29" s="2"/>
      <c r="H29" s="2"/>
      <c r="I29" s="2"/>
      <c r="J29" s="2"/>
      <c r="K29" s="2"/>
      <c r="L29" s="2"/>
      <c r="M29" s="2"/>
      <c r="N29" s="2"/>
      <c r="P29" s="52" t="str">
        <f>'SCENARIO 1 - Gemiddeld'!H279</f>
        <v>*Noot: de getoonde referentie inkomsten zijn zoveel mogelijk als netto bedrijfsresultaat bepaald</v>
      </c>
      <c r="S29" s="3"/>
      <c r="T29" s="3"/>
      <c r="U29" s="3"/>
    </row>
    <row r="30" spans="2:42" x14ac:dyDescent="0.2">
      <c r="B30" s="1" t="str">
        <f>'SCENARIO 1 - Gemiddeld'!B282</f>
        <v>Inkomsten GLB subsidies</v>
      </c>
      <c r="C30" s="1" t="str">
        <f>'SCENARIO 1 - Gemiddeld'!C282</f>
        <v>[€/a]</v>
      </c>
      <c r="D30" s="402">
        <f>'SCENARIO 2 - Beste geval'!D283</f>
        <v>22500</v>
      </c>
      <c r="E30" s="402">
        <f>'SCENARIO 1 - Gemiddeld'!D282</f>
        <v>18830.5</v>
      </c>
      <c r="F30" s="402">
        <f>'SCENARIO 3 - Slechtste geval'!D282</f>
        <v>12500</v>
      </c>
      <c r="G30" s="402"/>
      <c r="H30" s="402">
        <f>'SCENARIO 2 - Beste geval'!E283</f>
        <v>450</v>
      </c>
      <c r="I30" s="402">
        <f>'SCENARIO 1 - Gemiddeld'!E282</f>
        <v>376.61</v>
      </c>
      <c r="J30" s="402">
        <f>'SCENARIO 3 - Slechtste geval'!E282</f>
        <v>250</v>
      </c>
      <c r="K30" s="402"/>
      <c r="L30" s="402">
        <f>'SCENARIO 2 - Beste geval'!F283</f>
        <v>30</v>
      </c>
      <c r="M30" s="402">
        <f>'SCENARIO 1 - Gemiddeld'!F282</f>
        <v>31.384166666666673</v>
      </c>
      <c r="N30" s="402">
        <f>'SCENARIO 3 - Slechtste geval'!F282</f>
        <v>27.777777777777782</v>
      </c>
      <c r="P30" s="52" t="str">
        <f>'SCENARIO 1 - Gemiddeld'!H280</f>
        <v xml:space="preserve"> t.b.v. een goede vergelijking. De vergelijking is niet volledig één-op-één te maken i.v.m. andere </v>
      </c>
      <c r="S30" s="3"/>
      <c r="T30" s="3"/>
      <c r="U30" s="3"/>
    </row>
    <row r="31" spans="2:42" x14ac:dyDescent="0.2">
      <c r="B31" t="str">
        <f>'SCENARIO 1 - Gemiddeld'!B283</f>
        <v>GLB - basisbetaling</v>
      </c>
      <c r="C31" s="270" t="str">
        <f>'SCENARIO 1 - Gemiddeld'!C283</f>
        <v>[€/a]</v>
      </c>
      <c r="D31" s="403">
        <f>'SCENARIO 2 - Beste geval'!D284</f>
        <v>13750</v>
      </c>
      <c r="E31" s="403">
        <f>'SCENARIO 1 - Gemiddeld'!D283</f>
        <v>13145.500000000002</v>
      </c>
      <c r="F31" s="403">
        <f>'SCENARIO 3 - Slechtste geval'!D283</f>
        <v>10000</v>
      </c>
      <c r="G31" s="403"/>
      <c r="H31" s="3">
        <f>'SCENARIO 2 - Beste geval'!E284</f>
        <v>275</v>
      </c>
      <c r="I31" s="3">
        <f>'SCENARIO 1 - Gemiddeld'!E283</f>
        <v>262.91000000000003</v>
      </c>
      <c r="J31" s="3">
        <f>'SCENARIO 3 - Slechtste geval'!E283</f>
        <v>200</v>
      </c>
      <c r="K31" s="3"/>
      <c r="L31" s="272">
        <f>'SCENARIO 2 - Beste geval'!F284</f>
        <v>18.333333333333332</v>
      </c>
      <c r="M31" s="272">
        <f>'SCENARIO 1 - Gemiddeld'!F283</f>
        <v>21.909166666666671</v>
      </c>
      <c r="N31" s="272">
        <f>'SCENARIO 3 - Slechtste geval'!F283</f>
        <v>22.222222222222225</v>
      </c>
      <c r="P31" s="396" t="str">
        <f>'SCENARIO 1 - Gemiddeld'!H281</f>
        <v>onderliggende kostenstructuren en fiscale regels.</v>
      </c>
      <c r="S31" s="3"/>
      <c r="T31" s="3"/>
      <c r="U31" s="3"/>
    </row>
    <row r="32" spans="2:42" x14ac:dyDescent="0.2">
      <c r="B32" t="str">
        <f>'SCENARIO 1 - Gemiddeld'!B284</f>
        <v>GLB - vergroeningsbetaling</v>
      </c>
      <c r="C32" s="270" t="str">
        <f>'SCENARIO 1 - Gemiddeld'!C284</f>
        <v>[€/a]</v>
      </c>
      <c r="D32" s="403">
        <f>'SCENARIO 2 - Beste geval'!D285</f>
        <v>8750</v>
      </c>
      <c r="E32" s="403">
        <f>'SCENARIO 1 - Gemiddeld'!D284</f>
        <v>5685</v>
      </c>
      <c r="F32" s="403">
        <f>'SCENARIO 3 - Slechtste geval'!D284</f>
        <v>2500</v>
      </c>
      <c r="G32" s="403"/>
      <c r="H32" s="3">
        <f>'SCENARIO 2 - Beste geval'!E285</f>
        <v>175</v>
      </c>
      <c r="I32" s="3">
        <f>'SCENARIO 1 - Gemiddeld'!E284</f>
        <v>113.7</v>
      </c>
      <c r="J32" s="3">
        <f>'SCENARIO 3 - Slechtste geval'!E284</f>
        <v>50</v>
      </c>
      <c r="K32" s="3"/>
      <c r="L32" s="272">
        <f>'SCENARIO 2 - Beste geval'!F285</f>
        <v>11.666666666666666</v>
      </c>
      <c r="M32" s="272">
        <f>'SCENARIO 1 - Gemiddeld'!F284</f>
        <v>9.4749999999999996</v>
      </c>
      <c r="N32" s="272">
        <f>'SCENARIO 3 - Slechtste geval'!F284</f>
        <v>5.5555555555555562</v>
      </c>
    </row>
    <row r="33" spans="2:14" x14ac:dyDescent="0.2">
      <c r="B33" t="str">
        <f>'SCENARIO 1 - Gemiddeld'!B285</f>
        <v>Concept GLB - peil -30 tot 0</v>
      </c>
      <c r="C33" s="270" t="str">
        <f>'SCENARIO 1 - Gemiddeld'!C285</f>
        <v>[€/a]</v>
      </c>
      <c r="D33" s="403">
        <f>'SCENARIO 2 - Beste geval'!D286</f>
        <v>0</v>
      </c>
      <c r="E33" s="403">
        <f>'SCENARIO 1 - Gemiddeld'!D285</f>
        <v>0</v>
      </c>
      <c r="F33" s="403">
        <f>'SCENARIO 3 - Slechtste geval'!D285</f>
        <v>0</v>
      </c>
      <c r="G33" s="403"/>
      <c r="H33" s="3">
        <f>'SCENARIO 2 - Beste geval'!E286</f>
        <v>0</v>
      </c>
      <c r="I33" s="3">
        <f>'SCENARIO 1 - Gemiddeld'!E285</f>
        <v>0</v>
      </c>
      <c r="J33" s="3">
        <f>'SCENARIO 3 - Slechtste geval'!E285</f>
        <v>0</v>
      </c>
      <c r="K33" s="3"/>
      <c r="L33" s="272">
        <f>'SCENARIO 2 - Beste geval'!F286</f>
        <v>0</v>
      </c>
      <c r="M33" s="272">
        <f>'SCENARIO 1 - Gemiddeld'!F285</f>
        <v>0</v>
      </c>
      <c r="N33" s="272">
        <f>'SCENARIO 3 - Slechtste geval'!F285</f>
        <v>0</v>
      </c>
    </row>
    <row r="34" spans="2:14" x14ac:dyDescent="0.2">
      <c r="B34" t="str">
        <f>'SCENARIO 1 - Gemiddeld'!B286</f>
        <v>Concept GLB - peil -30 tot -21</v>
      </c>
      <c r="C34" s="270" t="str">
        <f>'SCENARIO 1 - Gemiddeld'!C286</f>
        <v>[€/a]</v>
      </c>
      <c r="D34" s="403">
        <f>'SCENARIO 2 - Beste geval'!D287</f>
        <v>0</v>
      </c>
      <c r="E34" s="403">
        <f>'SCENARIO 1 - Gemiddeld'!D286</f>
        <v>0</v>
      </c>
      <c r="F34" s="403">
        <f>'SCENARIO 3 - Slechtste geval'!D286</f>
        <v>0</v>
      </c>
      <c r="G34" s="403"/>
      <c r="H34" s="3">
        <f>'SCENARIO 2 - Beste geval'!E287</f>
        <v>0</v>
      </c>
      <c r="I34" s="3">
        <f>'SCENARIO 1 - Gemiddeld'!E286</f>
        <v>0</v>
      </c>
      <c r="J34" s="3">
        <f>'SCENARIO 3 - Slechtste geval'!E286</f>
        <v>0</v>
      </c>
      <c r="K34" s="3"/>
      <c r="L34" s="272">
        <f>'SCENARIO 2 - Beste geval'!F287</f>
        <v>0</v>
      </c>
      <c r="M34" s="272">
        <f>'SCENARIO 1 - Gemiddeld'!F286</f>
        <v>0</v>
      </c>
      <c r="N34" s="272">
        <f>'SCENARIO 3 - Slechtste geval'!F286</f>
        <v>0</v>
      </c>
    </row>
    <row r="35" spans="2:14" x14ac:dyDescent="0.2">
      <c r="C35" s="270"/>
      <c r="D35" s="403"/>
      <c r="E35" s="403"/>
      <c r="F35" s="403"/>
      <c r="G35" s="403"/>
      <c r="H35" s="3"/>
      <c r="I35" s="3"/>
      <c r="J35" s="3"/>
      <c r="K35" s="3"/>
      <c r="L35" s="272"/>
      <c r="M35" s="272"/>
      <c r="N35" s="272"/>
    </row>
    <row r="36" spans="2:14" x14ac:dyDescent="0.2">
      <c r="C36" s="270"/>
      <c r="D36" s="2"/>
      <c r="E36" s="2"/>
      <c r="F36" s="2"/>
      <c r="G36" s="2"/>
      <c r="H36" s="2"/>
      <c r="I36" s="2"/>
      <c r="J36" s="2"/>
      <c r="K36" s="2"/>
      <c r="L36" s="2"/>
      <c r="M36" s="2"/>
      <c r="N36" s="2"/>
    </row>
    <row r="37" spans="2:14" ht="19" x14ac:dyDescent="0.25">
      <c r="B37" s="291" t="str">
        <f>'SCENARIO 1 - Gemiddeld'!B289</f>
        <v>Kosten totaal</v>
      </c>
      <c r="C37" s="291" t="str">
        <f>'SCENARIO 1 - Gemiddeld'!C289</f>
        <v>[€/a]</v>
      </c>
      <c r="D37" s="292">
        <f>'SCENARIO 2 - Beste geval'!D290</f>
        <v>221452.97639547859</v>
      </c>
      <c r="E37" s="292">
        <f>'SCENARIO 1 - Gemiddeld'!D289</f>
        <v>404846.54387367237</v>
      </c>
      <c r="F37" s="292">
        <f>'SCENARIO 3 - Slechtste geval'!D289</f>
        <v>728513.42017778521</v>
      </c>
      <c r="G37" s="292"/>
      <c r="H37" s="292">
        <f>'SCENARIO 2 - Beste geval'!E290</f>
        <v>4429.0595279095714</v>
      </c>
      <c r="I37" s="292">
        <f>'SCENARIO 1 - Gemiddeld'!E289</f>
        <v>8096.9308774734473</v>
      </c>
      <c r="J37" s="292">
        <f>'SCENARIO 3 - Slechtste geval'!E289</f>
        <v>14570.268403555705</v>
      </c>
      <c r="K37" s="292"/>
      <c r="L37" s="292">
        <f>'SCENARIO 2 - Beste geval'!F290</f>
        <v>295.27063519397143</v>
      </c>
      <c r="M37" s="292">
        <f>'SCENARIO 1 - Gemiddeld'!F289</f>
        <v>674.7442397894539</v>
      </c>
      <c r="N37" s="292">
        <f>'SCENARIO 3 - Slechtste geval'!F289</f>
        <v>1618.9187115061895</v>
      </c>
    </row>
    <row r="38" spans="2:14" x14ac:dyDescent="0.2">
      <c r="C38" s="270"/>
      <c r="D38" s="211"/>
      <c r="E38" s="211"/>
      <c r="F38" s="211"/>
      <c r="G38" s="211"/>
      <c r="H38" s="211"/>
      <c r="I38" s="211"/>
      <c r="J38" s="211"/>
      <c r="K38" s="211"/>
      <c r="L38" s="211"/>
      <c r="M38" s="211"/>
      <c r="N38" s="211"/>
    </row>
    <row r="39" spans="2:14" x14ac:dyDescent="0.2">
      <c r="B39" s="1" t="str">
        <f>'SCENARIO 1 - Gemiddeld'!B291</f>
        <v>Teeltkosten</v>
      </c>
      <c r="C39" s="1" t="str">
        <f>'SCENARIO 1 - Gemiddeld'!C291</f>
        <v>[€/a]</v>
      </c>
      <c r="D39" s="7">
        <f>'SCENARIO 2 - Beste geval'!D292</f>
        <v>87714.137109764226</v>
      </c>
      <c r="E39" s="7">
        <f>'SCENARIO 1 - Gemiddeld'!D291</f>
        <v>172838.21054033903</v>
      </c>
      <c r="F39" s="7">
        <f>'SCENARIO 3 - Slechtste geval'!D291</f>
        <v>379544.67017778521</v>
      </c>
      <c r="G39" s="7"/>
      <c r="H39" s="7">
        <f>'SCENARIO 2 - Beste geval'!E292</f>
        <v>1754.2827421952843</v>
      </c>
      <c r="I39" s="7">
        <f>'SCENARIO 1 - Gemiddeld'!E291</f>
        <v>3456.7642108067807</v>
      </c>
      <c r="J39" s="7">
        <f>'SCENARIO 3 - Slechtste geval'!E291</f>
        <v>7590.8934035557049</v>
      </c>
      <c r="K39" s="7"/>
      <c r="L39" s="7">
        <f>'SCENARIO 2 - Beste geval'!F292</f>
        <v>116.95218281301896</v>
      </c>
      <c r="M39" s="7">
        <f>'SCENARIO 1 - Gemiddeld'!F291</f>
        <v>288.06368423389836</v>
      </c>
      <c r="N39" s="7">
        <f>'SCENARIO 3 - Slechtste geval'!F291</f>
        <v>843.43260039507845</v>
      </c>
    </row>
    <row r="40" spans="2:14" x14ac:dyDescent="0.2">
      <c r="B40" t="str">
        <f>'SCENARIO 1 - Gemiddeld'!B292</f>
        <v>Jaarlijks grondgebruik</v>
      </c>
      <c r="C40" s="270" t="str">
        <f>'SCENARIO 1 - Gemiddeld'!C292</f>
        <v>[€/a]</v>
      </c>
      <c r="D40" s="3">
        <f>'SCENARIO 2 - Beste geval'!D293</f>
        <v>35700</v>
      </c>
      <c r="E40" s="3">
        <f>'SCENARIO 1 - Gemiddeld'!D292</f>
        <v>35700</v>
      </c>
      <c r="F40" s="3">
        <f>'SCENARIO 3 - Slechtste geval'!D292</f>
        <v>35700</v>
      </c>
      <c r="G40" s="3"/>
      <c r="H40" s="3">
        <f>'SCENARIO 2 - Beste geval'!E293</f>
        <v>714</v>
      </c>
      <c r="I40" s="3">
        <f>'SCENARIO 1 - Gemiddeld'!E292</f>
        <v>714</v>
      </c>
      <c r="J40" s="3">
        <f>'SCENARIO 3 - Slechtste geval'!E292</f>
        <v>714</v>
      </c>
      <c r="K40" s="3"/>
      <c r="L40" s="3">
        <f>'SCENARIO 2 - Beste geval'!F293</f>
        <v>47.6</v>
      </c>
      <c r="M40" s="3">
        <f>'SCENARIO 1 - Gemiddeld'!F292</f>
        <v>59.5</v>
      </c>
      <c r="N40" s="3">
        <f>'SCENARIO 3 - Slechtste geval'!F292</f>
        <v>79.333333333333343</v>
      </c>
    </row>
    <row r="41" spans="2:14" x14ac:dyDescent="0.2">
      <c r="B41" t="str">
        <f>'SCENARIO 1 - Gemiddeld'!B293</f>
        <v>Gewasverzorging</v>
      </c>
      <c r="C41" s="270" t="str">
        <f>'SCENARIO 1 - Gemiddeld'!C293</f>
        <v>[€/a]</v>
      </c>
      <c r="D41" s="3">
        <f>'SCENARIO 2 - Beste geval'!D294</f>
        <v>11000</v>
      </c>
      <c r="E41" s="3">
        <f>'SCENARIO 1 - Gemiddeld'!D293</f>
        <v>26000</v>
      </c>
      <c r="F41" s="3">
        <f>'SCENARIO 3 - Slechtste geval'!D293</f>
        <v>64500</v>
      </c>
      <c r="G41" s="3"/>
      <c r="H41" s="3">
        <f>'SCENARIO 2 - Beste geval'!E294</f>
        <v>220</v>
      </c>
      <c r="I41" s="3">
        <f>'SCENARIO 1 - Gemiddeld'!E293</f>
        <v>520</v>
      </c>
      <c r="J41" s="3">
        <f>'SCENARIO 3 - Slechtste geval'!E293</f>
        <v>1290</v>
      </c>
      <c r="K41" s="3"/>
      <c r="L41" s="3">
        <f>'SCENARIO 2 - Beste geval'!F294</f>
        <v>14.666666666666666</v>
      </c>
      <c r="M41" s="3">
        <f>'SCENARIO 1 - Gemiddeld'!F293</f>
        <v>43.333333333333336</v>
      </c>
      <c r="N41" s="3">
        <f>'SCENARIO 3 - Slechtste geval'!F293</f>
        <v>143.33333333333334</v>
      </c>
    </row>
    <row r="42" spans="2:14" x14ac:dyDescent="0.2">
      <c r="B42" t="str">
        <f>'SCENARIO 1 - Gemiddeld'!B294</f>
        <v>Energieverbruik en water</v>
      </c>
      <c r="C42" s="270" t="str">
        <f>'SCENARIO 1 - Gemiddeld'!C294</f>
        <v>[€/a]</v>
      </c>
      <c r="D42" s="3">
        <f>'SCENARIO 2 - Beste geval'!D295</f>
        <v>1500</v>
      </c>
      <c r="E42" s="3">
        <f>'SCENARIO 1 - Gemiddeld'!D294</f>
        <v>5000</v>
      </c>
      <c r="F42" s="3">
        <f>'SCENARIO 3 - Slechtste geval'!D294</f>
        <v>8750</v>
      </c>
      <c r="G42" s="3"/>
      <c r="H42" s="3">
        <f>'SCENARIO 2 - Beste geval'!E295</f>
        <v>30</v>
      </c>
      <c r="I42" s="3">
        <f>'SCENARIO 1 - Gemiddeld'!E294</f>
        <v>100</v>
      </c>
      <c r="J42" s="3">
        <f>'SCENARIO 3 - Slechtste geval'!E294</f>
        <v>175</v>
      </c>
      <c r="K42" s="3"/>
      <c r="L42" s="3">
        <f>'SCENARIO 2 - Beste geval'!F295</f>
        <v>2</v>
      </c>
      <c r="M42" s="3">
        <f>'SCENARIO 1 - Gemiddeld'!F294</f>
        <v>8.3333333333333339</v>
      </c>
      <c r="N42" s="3">
        <f>'SCENARIO 3 - Slechtste geval'!F294</f>
        <v>19.444444444444446</v>
      </c>
    </row>
    <row r="43" spans="2:14" x14ac:dyDescent="0.2">
      <c r="B43" t="str">
        <f>'SCENARIO 1 - Gemiddeld'!B295</f>
        <v>Belastingen en verzekeringen</v>
      </c>
      <c r="C43" s="270" t="str">
        <f>'SCENARIO 1 - Gemiddeld'!C295</f>
        <v>[€/a]</v>
      </c>
      <c r="D43" s="3">
        <f>'SCENARIO 2 - Beste geval'!D296</f>
        <v>1390.5</v>
      </c>
      <c r="E43" s="3">
        <f>'SCENARIO 1 - Gemiddeld'!D295</f>
        <v>7420</v>
      </c>
      <c r="F43" s="3">
        <f>'SCENARIO 3 - Slechtste geval'!D295</f>
        <v>10000</v>
      </c>
      <c r="G43" s="3"/>
      <c r="H43" s="3">
        <f>'SCENARIO 2 - Beste geval'!E296</f>
        <v>27.81</v>
      </c>
      <c r="I43" s="3">
        <f>'SCENARIO 1 - Gemiddeld'!E295</f>
        <v>148.4</v>
      </c>
      <c r="J43" s="3">
        <f>'SCENARIO 3 - Slechtste geval'!E295</f>
        <v>200</v>
      </c>
      <c r="K43" s="3"/>
      <c r="L43" s="3">
        <f>'SCENARIO 2 - Beste geval'!F296</f>
        <v>1.8540000000000001</v>
      </c>
      <c r="M43" s="3">
        <f>'SCENARIO 1 - Gemiddeld'!F295</f>
        <v>12.366666666666667</v>
      </c>
      <c r="N43" s="3">
        <f>'SCENARIO 3 - Slechtste geval'!F295</f>
        <v>22.222222222222225</v>
      </c>
    </row>
    <row r="44" spans="2:14" x14ac:dyDescent="0.2">
      <c r="B44" t="str">
        <f>'SCENARIO 1 - Gemiddeld'!B296</f>
        <v>Onderhoud</v>
      </c>
      <c r="C44" s="270" t="str">
        <f>'SCENARIO 1 - Gemiddeld'!C296</f>
        <v>[€/a]</v>
      </c>
      <c r="D44" s="3">
        <f>'SCENARIO 2 - Beste geval'!D297</f>
        <v>5393.75</v>
      </c>
      <c r="E44" s="3">
        <f>'SCENARIO 1 - Gemiddeld'!D296</f>
        <v>18375</v>
      </c>
      <c r="F44" s="3">
        <f>'SCENARIO 3 - Slechtste geval'!D296</f>
        <v>75000</v>
      </c>
      <c r="G44" s="3"/>
      <c r="H44" s="3">
        <f>'SCENARIO 2 - Beste geval'!E297</f>
        <v>107.875</v>
      </c>
      <c r="I44" s="3">
        <f>'SCENARIO 1 - Gemiddeld'!E296</f>
        <v>367.5</v>
      </c>
      <c r="J44" s="3">
        <f>'SCENARIO 3 - Slechtste geval'!E296</f>
        <v>1500</v>
      </c>
      <c r="K44" s="3"/>
      <c r="L44" s="3">
        <f>'SCENARIO 2 - Beste geval'!F297</f>
        <v>7.1916666666666664</v>
      </c>
      <c r="M44" s="3">
        <f>'SCENARIO 1 - Gemiddeld'!F296</f>
        <v>30.625</v>
      </c>
      <c r="N44" s="3">
        <f>'SCENARIO 3 - Slechtste geval'!F296</f>
        <v>166.66666666666669</v>
      </c>
    </row>
    <row r="45" spans="2:14" x14ac:dyDescent="0.2">
      <c r="B45" t="str">
        <f>'SCENARIO 1 - Gemiddeld'!B297</f>
        <v>Afschrijving &amp; aflossing teeltinvesteringen</v>
      </c>
      <c r="C45" s="270" t="str">
        <f>'SCENARIO 1 - Gemiddeld'!C297</f>
        <v>[€/a]</v>
      </c>
      <c r="D45" s="3">
        <f>'SCENARIO 2 - Beste geval'!D298</f>
        <v>32729.887109764222</v>
      </c>
      <c r="E45" s="3">
        <f>'SCENARIO 1 - Gemiddeld'!D297</f>
        <v>80343.210540339031</v>
      </c>
      <c r="F45" s="3">
        <f>'SCENARIO 3 - Slechtste geval'!D297</f>
        <v>185594.67017778524</v>
      </c>
      <c r="G45" s="3"/>
      <c r="H45" s="3">
        <f>'SCENARIO 2 - Beste geval'!E298</f>
        <v>654.59774219528447</v>
      </c>
      <c r="I45" s="3">
        <f>'SCENARIO 1 - Gemiddeld'!E297</f>
        <v>1606.8642108067806</v>
      </c>
      <c r="J45" s="3">
        <f>'SCENARIO 3 - Slechtste geval'!E297</f>
        <v>3711.8934035557049</v>
      </c>
      <c r="K45" s="3"/>
      <c r="L45" s="3">
        <f>'SCENARIO 2 - Beste geval'!F298</f>
        <v>43.63984947968563</v>
      </c>
      <c r="M45" s="3">
        <f>'SCENARIO 1 - Gemiddeld'!F297</f>
        <v>133.90535090056505</v>
      </c>
      <c r="N45" s="3">
        <f>'SCENARIO 3 - Slechtste geval'!F297</f>
        <v>412.4326003950784</v>
      </c>
    </row>
    <row r="46" spans="2:14" x14ac:dyDescent="0.2">
      <c r="C46" s="270"/>
      <c r="D46" s="3"/>
      <c r="E46" s="3"/>
      <c r="F46" s="3"/>
      <c r="G46" s="3"/>
      <c r="H46" s="3"/>
      <c r="I46" s="3"/>
      <c r="J46" s="3"/>
      <c r="K46" s="3"/>
      <c r="L46" s="3"/>
      <c r="M46" s="3"/>
      <c r="N46" s="3"/>
    </row>
    <row r="47" spans="2:14" x14ac:dyDescent="0.2">
      <c r="B47" s="1" t="str">
        <f>'SCENARIO 1 - Gemiddeld'!B299</f>
        <v>Oogst- en opslagkosten</v>
      </c>
      <c r="C47" s="1" t="str">
        <f>'SCENARIO 1 - Gemiddeld'!C299</f>
        <v>[€/a]</v>
      </c>
      <c r="D47" s="8">
        <f>'SCENARIO 2 - Beste geval'!D300</f>
        <v>133738.83928571435</v>
      </c>
      <c r="E47" s="8">
        <f>'SCENARIO 1 - Gemiddeld'!D299</f>
        <v>232008.33333333334</v>
      </c>
      <c r="F47" s="8">
        <f>'SCENARIO 3 - Slechtste geval'!D299</f>
        <v>348968.75</v>
      </c>
      <c r="G47" s="8"/>
      <c r="H47" s="8">
        <f>'SCENARIO 2 - Beste geval'!E300</f>
        <v>2674.7767857142871</v>
      </c>
      <c r="I47" s="8">
        <f>'SCENARIO 1 - Gemiddeld'!E299</f>
        <v>4640.166666666667</v>
      </c>
      <c r="J47" s="8">
        <f>'SCENARIO 3 - Slechtste geval'!E299</f>
        <v>6979.375</v>
      </c>
      <c r="K47" s="8"/>
      <c r="L47" s="8">
        <f>'SCENARIO 2 - Beste geval'!F300</f>
        <v>178.31845238095246</v>
      </c>
      <c r="M47" s="8">
        <f>'SCENARIO 1 - Gemiddeld'!F299</f>
        <v>386.68055555555554</v>
      </c>
      <c r="N47" s="8">
        <f>'SCENARIO 3 - Slechtste geval'!F299</f>
        <v>775.4861111111112</v>
      </c>
    </row>
    <row r="48" spans="2:14" x14ac:dyDescent="0.2">
      <c r="B48" t="str">
        <f>'SCENARIO 1 - Gemiddeld'!B300</f>
        <v>Oogstkosten</v>
      </c>
      <c r="C48" s="270" t="str">
        <f>'SCENARIO 1 - Gemiddeld'!C300</f>
        <v>[€/a]</v>
      </c>
      <c r="D48" s="3">
        <f>'SCENARIO 2 - Beste geval'!D301</f>
        <v>53000</v>
      </c>
      <c r="E48" s="3">
        <f>'SCENARIO 1 - Gemiddeld'!D300</f>
        <v>87250</v>
      </c>
      <c r="F48" s="3">
        <f>'SCENARIO 3 - Slechtste geval'!D300</f>
        <v>135500</v>
      </c>
      <c r="G48" s="3"/>
      <c r="H48" s="3">
        <f>'SCENARIO 2 - Beste geval'!E301</f>
        <v>1060</v>
      </c>
      <c r="I48" s="3">
        <f>'SCENARIO 1 - Gemiddeld'!E300</f>
        <v>1745</v>
      </c>
      <c r="J48" s="3">
        <f>'SCENARIO 3 - Slechtste geval'!E300</f>
        <v>2710</v>
      </c>
      <c r="K48" s="3"/>
      <c r="L48" s="3">
        <f>'SCENARIO 2 - Beste geval'!F301</f>
        <v>70.666666666666671</v>
      </c>
      <c r="M48" s="3">
        <f>'SCENARIO 1 - Gemiddeld'!F300</f>
        <v>145.41666666666666</v>
      </c>
      <c r="N48" s="3">
        <f>'SCENARIO 3 - Slechtste geval'!F300</f>
        <v>301.11111111111114</v>
      </c>
    </row>
    <row r="49" spans="2:14" x14ac:dyDescent="0.2">
      <c r="B49" t="str">
        <f>'SCENARIO 1 - Gemiddeld'!B301</f>
        <v>Opslagkosten</v>
      </c>
      <c r="C49" s="270" t="str">
        <f>'SCENARIO 1 - Gemiddeld'!C301</f>
        <v>[€/a]</v>
      </c>
      <c r="D49" s="3">
        <f>'SCENARIO 2 - Beste geval'!D302</f>
        <v>4453.125</v>
      </c>
      <c r="E49" s="3">
        <f>'SCENARIO 1 - Gemiddeld'!D301</f>
        <v>5425</v>
      </c>
      <c r="F49" s="3">
        <f>'SCENARIO 3 - Slechtste geval'!D301</f>
        <v>6768.7499999999991</v>
      </c>
      <c r="G49" s="3"/>
      <c r="H49" s="3">
        <f>'SCENARIO 2 - Beste geval'!E302</f>
        <v>89.0625</v>
      </c>
      <c r="I49" s="3">
        <f>'SCENARIO 1 - Gemiddeld'!E301</f>
        <v>108.5</v>
      </c>
      <c r="J49" s="3">
        <f>'SCENARIO 3 - Slechtste geval'!E301</f>
        <v>135.37499999999997</v>
      </c>
      <c r="K49" s="3"/>
      <c r="L49" s="3">
        <f>'SCENARIO 2 - Beste geval'!F302</f>
        <v>5.9375</v>
      </c>
      <c r="M49" s="3">
        <f>'SCENARIO 1 - Gemiddeld'!F301</f>
        <v>9.0416666666666661</v>
      </c>
      <c r="N49" s="3">
        <f>'SCENARIO 3 - Slechtste geval'!F301</f>
        <v>15.041666666666666</v>
      </c>
    </row>
    <row r="50" spans="2:14" x14ac:dyDescent="0.2">
      <c r="B50" t="str">
        <f>'SCENARIO 1 - Gemiddeld'!B302</f>
        <v>Voordroogkosten</v>
      </c>
      <c r="C50" s="270" t="str">
        <f>'SCENARIO 1 - Gemiddeld'!C302</f>
        <v>[€/a]</v>
      </c>
      <c r="D50" s="3">
        <f>'SCENARIO 2 - Beste geval'!D303</f>
        <v>76285.714285714348</v>
      </c>
      <c r="E50" s="3">
        <f>'SCENARIO 1 - Gemiddeld'!D302</f>
        <v>139333.33333333334</v>
      </c>
      <c r="F50" s="3">
        <f>'SCENARIO 3 - Slechtste geval'!D302</f>
        <v>206700</v>
      </c>
      <c r="G50" s="3"/>
      <c r="H50" s="3">
        <f>'SCENARIO 2 - Beste geval'!E303</f>
        <v>1525.7142857142869</v>
      </c>
      <c r="I50" s="3">
        <f>'SCENARIO 1 - Gemiddeld'!E302</f>
        <v>2786.666666666667</v>
      </c>
      <c r="J50" s="3">
        <f>'SCENARIO 3 - Slechtste geval'!E302</f>
        <v>4134</v>
      </c>
      <c r="K50" s="3"/>
      <c r="L50" s="3">
        <f>'SCENARIO 2 - Beste geval'!F303</f>
        <v>101.71428571428579</v>
      </c>
      <c r="M50" s="3">
        <f>'SCENARIO 1 - Gemiddeld'!F302</f>
        <v>232.22222222222223</v>
      </c>
      <c r="N50" s="3">
        <f>'SCENARIO 3 - Slechtste geval'!F302</f>
        <v>459.33333333333337</v>
      </c>
    </row>
    <row r="51" spans="2:14" x14ac:dyDescent="0.2">
      <c r="B51" s="284"/>
      <c r="C51" s="270"/>
    </row>
    <row r="52" spans="2:14" x14ac:dyDescent="0.2">
      <c r="B52" s="284"/>
      <c r="C52" s="270"/>
    </row>
    <row r="53" spans="2:14" ht="19" x14ac:dyDescent="0.25">
      <c r="B53" s="291" t="str">
        <f>'SCENARIO 1 - Gemiddeld'!B307</f>
        <v>Resultaat totaal</v>
      </c>
      <c r="C53" s="291" t="str">
        <f>'SCENARIO 1 - Gemiddeld'!C307</f>
        <v>[€/a]</v>
      </c>
      <c r="D53" s="292">
        <f>'SCENARIO 2 - Beste geval'!D308</f>
        <v>549007.5545148236</v>
      </c>
      <c r="E53" s="292">
        <f>'SCENARIO 1 - Gemiddeld'!D307</f>
        <v>9252.5407716977643</v>
      </c>
      <c r="F53" s="292">
        <f>'SCENARIO 3 - Slechtste geval'!D307</f>
        <v>-547082.9390489076</v>
      </c>
      <c r="G53" s="292"/>
      <c r="H53" s="292">
        <f>'SCENARIO 2 - Beste geval'!E308</f>
        <v>10980.151090296473</v>
      </c>
      <c r="I53" s="292">
        <f>'SCENARIO 1 - Gemiddeld'!E307</f>
        <v>185.05081543395681</v>
      </c>
      <c r="J53" s="292">
        <f>'SCENARIO 3 - Slechtste geval'!E307</f>
        <v>-10941.658780978152</v>
      </c>
      <c r="K53" s="292"/>
      <c r="L53" s="292">
        <f>'SCENARIO 2 - Beste geval'!F308</f>
        <v>732.01007268643161</v>
      </c>
      <c r="M53" s="292">
        <f>'SCENARIO 1 - Gemiddeld'!F307</f>
        <v>15.42090128616303</v>
      </c>
      <c r="N53" s="292">
        <f>'SCENARIO 3 - Slechtste geval'!F307</f>
        <v>-1215.739864553128</v>
      </c>
    </row>
    <row r="54" spans="2:14" ht="19" x14ac:dyDescent="0.25">
      <c r="B54" s="410"/>
      <c r="C54" s="410"/>
      <c r="D54" s="411">
        <f>'SCENARIO 2 - Beste geval'!D309</f>
        <v>0.71257064118024183</v>
      </c>
      <c r="E54" s="411">
        <f>'SCENARIO 1 - Gemiddeld'!D308</f>
        <v>2.2343784651496001E-2</v>
      </c>
      <c r="F54" s="411">
        <f>'SCENARIO 3 - Slechtste geval'!D308</f>
        <v>-3.0153860346117463</v>
      </c>
      <c r="G54" s="411"/>
      <c r="H54" s="411">
        <f>'SCENARIO 2 - Beste geval'!E309</f>
        <v>0.71257064118024183</v>
      </c>
      <c r="I54" s="411">
        <f>'SCENARIO 1 - Gemiddeld'!E308</f>
        <v>2.2343784651496182E-2</v>
      </c>
      <c r="J54" s="411">
        <f>'SCENARIO 3 - Slechtste geval'!E308</f>
        <v>-3.0153860346117454</v>
      </c>
      <c r="K54" s="411"/>
      <c r="L54" s="412">
        <f>'SCENARIO 2 - Beste geval'!F309</f>
        <v>0.71257064118024194</v>
      </c>
      <c r="M54" s="412">
        <f>'SCENARIO 1 - Gemiddeld'!F308</f>
        <v>2.234378465149613E-2</v>
      </c>
      <c r="N54" s="412">
        <f>'SCENARIO 3 - Slechtste geval'!F308</f>
        <v>-3.0153860346117458</v>
      </c>
    </row>
    <row r="55" spans="2:14" x14ac:dyDescent="0.2">
      <c r="C55" s="270"/>
      <c r="D55" s="3"/>
      <c r="E55" s="3"/>
      <c r="F55" s="3"/>
      <c r="G55" s="3"/>
      <c r="H55" s="3"/>
      <c r="I55" s="3"/>
      <c r="J55" s="3"/>
      <c r="K55" s="3"/>
      <c r="L55" s="3"/>
      <c r="M55" s="3"/>
      <c r="N55" s="3"/>
    </row>
    <row r="56" spans="2:14" x14ac:dyDescent="0.2">
      <c r="B56" s="1" t="str">
        <f>'SCENARIO 1 - Gemiddeld'!B310</f>
        <v>Resultaat productverkoop</v>
      </c>
      <c r="C56" s="1" t="str">
        <f>'SCENARIO 1 - Gemiddeld'!C310</f>
        <v>[€/a]</v>
      </c>
      <c r="D56" s="8">
        <f>'SCENARIO 2 - Beste geval'!D311</f>
        <v>456507.5545148236</v>
      </c>
      <c r="E56" s="8">
        <f>'SCENARIO 1 - Gemiddeld'!D310</f>
        <v>-52077.959228302236</v>
      </c>
      <c r="F56" s="8">
        <f>'SCENARIO 3 - Slechtste geval'!D310</f>
        <v>-580832.9390489076</v>
      </c>
      <c r="G56" s="8"/>
      <c r="H56" s="8">
        <f>'SCENARIO 2 - Beste geval'!E311</f>
        <v>9130.1510902964728</v>
      </c>
      <c r="I56" s="8">
        <f>'SCENARIO 1 - Gemiddeld'!E310</f>
        <v>-1041.5591845660438</v>
      </c>
      <c r="J56" s="8">
        <f>'SCENARIO 3 - Slechtste geval'!E310</f>
        <v>-11616.658780978152</v>
      </c>
      <c r="K56" s="8"/>
      <c r="L56" s="8">
        <f>'SCENARIO 2 - Beste geval'!F311</f>
        <v>608.67673935309813</v>
      </c>
      <c r="M56" s="8">
        <f>'SCENARIO 1 - Gemiddeld'!F310</f>
        <v>-86.796598713837056</v>
      </c>
      <c r="N56" s="8">
        <f>'SCENARIO 3 - Slechtste geval'!F310</f>
        <v>-1290.739864553128</v>
      </c>
    </row>
    <row r="57" spans="2:14" x14ac:dyDescent="0.2">
      <c r="B57" s="52" t="str">
        <f>'SCENARIO 1 - Gemiddeld'!B311</f>
        <v>Excl. overige inkomsten, CO2-c. &amp; GLB-subsidie</v>
      </c>
      <c r="C57" s="270"/>
      <c r="D57" s="413">
        <f>'SCENARIO 2 - Beste geval'!D312</f>
        <v>0.67335417579821033</v>
      </c>
      <c r="E57" s="413">
        <f>'SCENARIO 1 - Gemiddeld'!D311</f>
        <v>-0.14762640862891738</v>
      </c>
      <c r="F57" s="413">
        <f>'SCENARIO 3 - Slechtste geval'!D311</f>
        <v>-3.9330379655387699</v>
      </c>
      <c r="G57" s="413"/>
      <c r="H57" s="413">
        <f>'SCENARIO 2 - Beste geval'!E312</f>
        <v>0.67335417579821033</v>
      </c>
      <c r="I57" s="413">
        <f>'SCENARIO 1 - Gemiddeld'!E311</f>
        <v>-0.14762640862891721</v>
      </c>
      <c r="J57" s="413">
        <f>'SCENARIO 3 - Slechtste geval'!E311</f>
        <v>-3.9330379655387686</v>
      </c>
      <c r="K57" s="413"/>
      <c r="L57" s="413">
        <f>'SCENARIO 2 - Beste geval'!F312</f>
        <v>0.67335417579821033</v>
      </c>
      <c r="M57" s="413">
        <f>'SCENARIO 1 - Gemiddeld'!F311</f>
        <v>-0.14762640862891738</v>
      </c>
      <c r="N57" s="413">
        <f>'SCENARIO 3 - Slechtste geval'!F311</f>
        <v>-3.9330379655387695</v>
      </c>
    </row>
    <row r="58" spans="2:14" x14ac:dyDescent="0.2">
      <c r="C58" s="270"/>
      <c r="D58" s="3"/>
      <c r="E58" s="3"/>
      <c r="F58" s="3"/>
      <c r="G58" s="3"/>
      <c r="H58" s="3"/>
      <c r="I58" s="3"/>
      <c r="J58" s="3"/>
      <c r="K58" s="3"/>
      <c r="L58" s="3"/>
      <c r="M58" s="3"/>
      <c r="N58" s="3"/>
    </row>
    <row r="59" spans="2:14" x14ac:dyDescent="0.2">
      <c r="B59" s="1" t="str">
        <f>'SCENARIO 1 - Gemiddeld'!B313</f>
        <v>Res. productverkoop &amp; GLB standaard</v>
      </c>
      <c r="C59" s="1" t="str">
        <f>'SCENARIO 1 - Gemiddeld'!C313</f>
        <v>[€/a]</v>
      </c>
      <c r="D59" s="7">
        <f>'SCENARIO 2 - Beste geval'!D314</f>
        <v>479007.5545148236</v>
      </c>
      <c r="E59" s="7">
        <f>'SCENARIO 1 - Gemiddeld'!D313</f>
        <v>-33247.459228302236</v>
      </c>
      <c r="F59" s="7">
        <f>'SCENARIO 3 - Slechtste geval'!D313</f>
        <v>-568332.9390489076</v>
      </c>
      <c r="G59" s="7"/>
      <c r="H59" s="7">
        <f>'SCENARIO 2 - Beste geval'!E314</f>
        <v>9580.1510902964728</v>
      </c>
      <c r="I59" s="7">
        <f>'SCENARIO 1 - Gemiddeld'!E313</f>
        <v>-664.9491845660441</v>
      </c>
      <c r="J59" s="7">
        <f>'SCENARIO 3 - Slechtste geval'!E313</f>
        <v>-11366.658780978152</v>
      </c>
      <c r="K59" s="7"/>
      <c r="L59" s="7">
        <f>'SCENARIO 2 - Beste geval'!F314</f>
        <v>638.67673935309813</v>
      </c>
      <c r="M59" s="7">
        <f>'SCENARIO 1 - Gemiddeld'!F313</f>
        <v>-55.412432047170341</v>
      </c>
      <c r="N59" s="7">
        <f>'SCENARIO 3 - Slechtste geval'!F313</f>
        <v>-1262.9620867753504</v>
      </c>
    </row>
    <row r="60" spans="2:14" x14ac:dyDescent="0.2">
      <c r="B60" s="52" t="str">
        <f>'SCENARIO 1 - Gemiddeld'!B314</f>
        <v>Excl. overige inkomsten, CO2-c. &amp; beoogde GLB</v>
      </c>
      <c r="D60" s="413">
        <f>'SCENARIO 2 - Beste geval'!D315</f>
        <v>0.68384660288041721</v>
      </c>
      <c r="E60" s="413">
        <f>'SCENARIO 1 - Gemiddeld'!D314</f>
        <v>-8.9471316270952159E-2</v>
      </c>
      <c r="F60" s="413">
        <f>'SCENARIO 3 - Slechtste geval'!D314</f>
        <v>-3.5480786113486551</v>
      </c>
      <c r="G60" s="413"/>
      <c r="H60" s="413">
        <f>'SCENARIO 2 - Beste geval'!E315</f>
        <v>0.68384660288041721</v>
      </c>
      <c r="I60" s="413">
        <f>'SCENARIO 1 - Gemiddeld'!E314</f>
        <v>-8.9471316270952075E-2</v>
      </c>
      <c r="J60" s="413">
        <f>'SCENARIO 3 - Slechtste geval'!E314</f>
        <v>-3.5480786113486542</v>
      </c>
      <c r="K60" s="413"/>
      <c r="L60" s="413">
        <f>'SCENARIO 2 - Beste geval'!F315</f>
        <v>0.68384660288041721</v>
      </c>
      <c r="M60" s="413">
        <f>'SCENARIO 1 - Gemiddeld'!F314</f>
        <v>-8.9471316270952075E-2</v>
      </c>
      <c r="N60" s="413">
        <f>'SCENARIO 3 - Slechtste geval'!F314</f>
        <v>-3.5480786113486551</v>
      </c>
    </row>
    <row r="62" spans="2:14" x14ac:dyDescent="0.2">
      <c r="B62" s="1" t="str">
        <f>'SCENARIO 1 - Gemiddeld'!B316</f>
        <v>Res. productverkoop, GLB st. &amp; overige</v>
      </c>
      <c r="C62" s="1" t="str">
        <f>'SCENARIO 1 - Gemiddeld'!C316</f>
        <v>[€/a]</v>
      </c>
      <c r="D62" s="7">
        <f>'SCENARIO 2 - Beste geval'!D317</f>
        <v>504007.5545148236</v>
      </c>
      <c r="E62" s="7">
        <f>'SCENARIO 1 - Gemiddeld'!D316</f>
        <v>-20747.459228302236</v>
      </c>
      <c r="F62" s="7">
        <f>'SCENARIO 3 - Slechtste geval'!D316</f>
        <v>-562082.9390489076</v>
      </c>
      <c r="G62" s="7"/>
      <c r="H62" s="7">
        <f>'SCENARIO 2 - Beste geval'!E317</f>
        <v>10080.151090296473</v>
      </c>
      <c r="I62" s="7">
        <f>'SCENARIO 1 - Gemiddeld'!E316</f>
        <v>-414.9491845660441</v>
      </c>
      <c r="J62" s="7">
        <f>'SCENARIO 3 - Slechtste geval'!E316</f>
        <v>-11241.658780978152</v>
      </c>
      <c r="K62" s="7"/>
      <c r="L62" s="7">
        <f>'SCENARIO 2 - Beste geval'!F317</f>
        <v>672.0100726864315</v>
      </c>
      <c r="M62" s="7">
        <f>'SCENARIO 1 - Gemiddeld'!F316</f>
        <v>-34.57909871383697</v>
      </c>
      <c r="N62" s="7">
        <f>'SCENARIO 3 - Slechtste geval'!F316</f>
        <v>-1249.0731978864615</v>
      </c>
    </row>
    <row r="63" spans="2:14" x14ac:dyDescent="0.2">
      <c r="B63" s="52" t="str">
        <f>'SCENARIO 1 - Gemiddeld'!B317</f>
        <v>Excl. CO2-c. &amp; beoogde GLB vernatten veen</v>
      </c>
      <c r="D63" s="413">
        <f>'SCENARIO 2 - Beste geval'!D318</f>
        <v>0.69474152354284369</v>
      </c>
      <c r="E63" s="413">
        <f>'SCENARIO 1 - Gemiddeld'!D317</f>
        <v>-5.4015903858396039E-2</v>
      </c>
      <c r="F63" s="413">
        <f>'SCENARIO 3 - Slechtste geval'!D317</f>
        <v>-3.3772836275925395</v>
      </c>
      <c r="G63" s="413"/>
      <c r="H63" s="413">
        <f>'SCENARIO 2 - Beste geval'!E318</f>
        <v>0.69474152354284369</v>
      </c>
      <c r="I63" s="413">
        <f>'SCENARIO 1 - Gemiddeld'!E317</f>
        <v>-5.4015903858395956E-2</v>
      </c>
      <c r="J63" s="413">
        <f>'SCENARIO 3 - Slechtste geval'!E317</f>
        <v>-3.3772836275925391</v>
      </c>
      <c r="K63" s="413"/>
      <c r="L63" s="413">
        <f>'SCENARIO 2 - Beste geval'!F318</f>
        <v>0.69474152354284369</v>
      </c>
      <c r="M63" s="413">
        <f>'SCENARIO 1 - Gemiddeld'!F317</f>
        <v>-5.40159038583959E-2</v>
      </c>
      <c r="N63" s="413">
        <f>'SCENARIO 3 - Slechtste geval'!F317</f>
        <v>-3.3772836275925395</v>
      </c>
    </row>
    <row r="65" spans="2:14" x14ac:dyDescent="0.2">
      <c r="B65" s="1" t="str">
        <f>'SCENARIO 1 - Gemiddeld'!B319</f>
        <v>Res. productv., GLB st., overige &amp; CO2-c.</v>
      </c>
      <c r="C65" s="1" t="str">
        <f>'SCENARIO 1 - Gemiddeld'!C319</f>
        <v>[€/a]</v>
      </c>
      <c r="D65" s="7">
        <f>'SCENARIO 2 - Beste geval'!D320</f>
        <v>549007.5545148236</v>
      </c>
      <c r="E65" s="7">
        <f>'SCENARIO 1 - Gemiddeld'!D319</f>
        <v>9252.5407716977643</v>
      </c>
      <c r="F65" s="7">
        <f>'SCENARIO 3 - Slechtste geval'!D319</f>
        <v>-547082.9390489076</v>
      </c>
      <c r="G65" s="7"/>
      <c r="H65" s="7">
        <f>'SCENARIO 2 - Beste geval'!E320</f>
        <v>10980.151090296473</v>
      </c>
      <c r="I65" s="7">
        <f>'SCENARIO 1 - Gemiddeld'!E319</f>
        <v>185.05081543395681</v>
      </c>
      <c r="J65" s="7">
        <f>'SCENARIO 3 - Slechtste geval'!E319</f>
        <v>-10941.658780978152</v>
      </c>
      <c r="K65" s="7"/>
      <c r="L65" s="7">
        <f>'SCENARIO 2 - Beste geval'!F320</f>
        <v>732.01007268643161</v>
      </c>
      <c r="M65" s="7">
        <f>'SCENARIO 1 - Gemiddeld'!F319</f>
        <v>15.42090128616303</v>
      </c>
      <c r="N65" s="7">
        <f>'SCENARIO 3 - Slechtste geval'!F319</f>
        <v>-1215.739864553128</v>
      </c>
    </row>
    <row r="66" spans="2:14" x14ac:dyDescent="0.2">
      <c r="B66" s="52" t="str">
        <f>'SCENARIO 1 - Gemiddeld'!B320</f>
        <v>Excl. beoogde GLB vernatten veen</v>
      </c>
      <c r="D66" s="413">
        <f>'SCENARIO 2 - Beste geval'!D321</f>
        <v>0.71257064118024183</v>
      </c>
      <c r="E66" s="413">
        <f>'SCENARIO 1 - Gemiddeld'!D320</f>
        <v>2.2343784651496001E-2</v>
      </c>
      <c r="F66" s="413">
        <f>'SCENARIO 3 - Slechtste geval'!D320</f>
        <v>-3.0153860346117463</v>
      </c>
      <c r="G66" s="413"/>
      <c r="H66" s="413">
        <f>'SCENARIO 2 - Beste geval'!E321</f>
        <v>0.71257064118024183</v>
      </c>
      <c r="I66" s="413">
        <f>'SCENARIO 1 - Gemiddeld'!E320</f>
        <v>2.2343784651496182E-2</v>
      </c>
      <c r="J66" s="413">
        <f>'SCENARIO 3 - Slechtste geval'!E320</f>
        <v>-3.0153860346117454</v>
      </c>
      <c r="K66" s="413"/>
      <c r="L66" s="413">
        <f>'SCENARIO 2 - Beste geval'!F321</f>
        <v>0.71257064118024194</v>
      </c>
      <c r="M66" s="413">
        <f>'SCENARIO 1 - Gemiddeld'!F320</f>
        <v>2.234378465149613E-2</v>
      </c>
      <c r="N66" s="413">
        <f>'SCENARIO 3 - Slechtste geval'!F320</f>
        <v>-3.0153860346117458</v>
      </c>
    </row>
    <row r="69" spans="2:14" ht="19" x14ac:dyDescent="0.25">
      <c r="B69" s="291" t="str">
        <f>'SCENARIO 1 - Gemiddeld'!B323</f>
        <v>Break-even</v>
      </c>
      <c r="C69" s="291"/>
      <c r="D69" s="291"/>
      <c r="E69" s="291"/>
      <c r="F69" s="291"/>
      <c r="G69" s="291"/>
      <c r="H69" s="291"/>
      <c r="I69" s="291"/>
      <c r="J69" s="291"/>
      <c r="K69" s="291"/>
      <c r="L69" s="291"/>
      <c r="M69" s="291"/>
      <c r="N69" s="291"/>
    </row>
    <row r="70" spans="2:14" x14ac:dyDescent="0.2">
      <c r="B70" s="38"/>
    </row>
    <row r="71" spans="2:14" x14ac:dyDescent="0.2">
      <c r="B71" s="269" t="str">
        <f>'SCENARIO 1 - Gemiddeld'!B325</f>
        <v>Minimale verkoopprijs per ton DS</v>
      </c>
    </row>
    <row r="72" spans="2:14" x14ac:dyDescent="0.2">
      <c r="B72" s="52" t="str">
        <f>'SCENARIO 1 - Gemiddeld'!B326</f>
        <v>Bij gelijkblijvende kosten, hectares &amp; gewasopbrengst</v>
      </c>
    </row>
    <row r="73" spans="2:14" x14ac:dyDescent="0.2">
      <c r="B73" s="269"/>
    </row>
    <row r="74" spans="2:14" x14ac:dyDescent="0.2">
      <c r="B74" t="str">
        <f>'SCENARIO 1 - Gemiddeld'!B328</f>
        <v>Kostenneutraal</v>
      </c>
      <c r="C74" t="str">
        <f>'SCENARIO 1 - Gemiddeld'!C328</f>
        <v>[€/t DS]</v>
      </c>
      <c r="L74" s="407">
        <f>'SCENARIO 2 - Beste geval'!F329</f>
        <v>295.27063519397143</v>
      </c>
      <c r="M74" s="407">
        <f>'SCENARIO 1 - Gemiddeld'!F328</f>
        <v>674.7442397894539</v>
      </c>
      <c r="N74" s="407">
        <f>'SCENARIO 3 - Slechtste geval'!F328</f>
        <v>1618.9187115061895</v>
      </c>
    </row>
    <row r="75" spans="2:14" x14ac:dyDescent="0.2">
      <c r="C75" s="52"/>
    </row>
    <row r="76" spans="2:14" x14ac:dyDescent="0.2">
      <c r="B76" t="str">
        <f>'SCENARIO 1 - Gemiddeld'!B330</f>
        <v>Kostenneutraal + minimaal inkomen</v>
      </c>
      <c r="C76" t="str">
        <f>'SCENARIO 1 - Gemiddeld'!C330</f>
        <v>[€/t DS]</v>
      </c>
      <c r="L76" s="407">
        <f>'SCENARIO 2 - Beste geval'!F331</f>
        <v>389.08101086481224</v>
      </c>
      <c r="M76" s="407">
        <f>'SCENARIO 1 - Gemiddeld'!F330</f>
        <v>776.71203943167222</v>
      </c>
      <c r="N76" s="407">
        <f>'SCENARIO 3 - Slechtste geval'!F330</f>
        <v>1733.122647105474</v>
      </c>
    </row>
    <row r="77" spans="2:14" x14ac:dyDescent="0.2">
      <c r="B77" s="52"/>
      <c r="C77" s="52"/>
    </row>
    <row r="78" spans="2:14" x14ac:dyDescent="0.2">
      <c r="B78" s="297" t="str">
        <f>'SCENARIO 1 - Gemiddeld'!B332</f>
        <v>Minimale aantal hectares - t.b.v. kostenneutraal</v>
      </c>
    </row>
    <row r="79" spans="2:14" x14ac:dyDescent="0.2">
      <c r="B79" s="296" t="str">
        <f>'SCENARIO 1 - Gemiddeld'!B333</f>
        <v>Bij gelijkblijvende kosten, verkoopprijs &amp; gewasopbrengst</v>
      </c>
    </row>
    <row r="80" spans="2:14" x14ac:dyDescent="0.2">
      <c r="B80" s="296"/>
    </row>
    <row r="81" spans="2:11" x14ac:dyDescent="0.2">
      <c r="B81" t="str">
        <f>'SCENARIO 1 - Gemiddeld'!B335</f>
        <v>O.b.v. productverkoop</v>
      </c>
      <c r="C81" t="str">
        <f>'SCENARIO 1 - Gemiddeld'!C335</f>
        <v>[ha]</v>
      </c>
      <c r="D81" s="406">
        <f>'SCENARIO 2 - Beste geval'!D336</f>
        <v>16.332291210089483</v>
      </c>
      <c r="E81" s="406">
        <f>'SCENARIO 1 - Gemiddeld'!D335</f>
        <v>57.381320431445864</v>
      </c>
      <c r="F81" s="406">
        <f>'SCENARIO 3 - Slechtste geval'!D335</f>
        <v>246.65189827693843</v>
      </c>
      <c r="G81" s="406"/>
      <c r="H81" s="405">
        <f>'SCENARIO 2 - Beste geval'!E336</f>
        <v>0.32664582420178967</v>
      </c>
      <c r="I81" s="405">
        <f>'SCENARIO 1 - Gemiddeld'!E335</f>
        <v>1.1476264086289172</v>
      </c>
      <c r="J81" s="405">
        <f>'SCENARIO 3 - Slechtste geval'!E335</f>
        <v>4.9330379655387686</v>
      </c>
      <c r="K81" s="405"/>
    </row>
    <row r="83" spans="2:11" x14ac:dyDescent="0.2">
      <c r="B83" s="177" t="str">
        <f>'SCENARIO 1 - Gemiddeld'!B337</f>
        <v>O.b.v. productverkoop &amp; GLB standaard</v>
      </c>
      <c r="C83" t="str">
        <f>'SCENARIO 1 - Gemiddeld'!C337</f>
        <v>[ha]</v>
      </c>
      <c r="D83" s="406">
        <f>'SCENARIO 2 - Beste geval'!D338</f>
        <v>15.807669855979139</v>
      </c>
      <c r="E83" s="406">
        <f>'SCENARIO 1 - Gemiddeld'!D337</f>
        <v>54.473565813547609</v>
      </c>
      <c r="F83" s="406">
        <f>'SCENARIO 3 - Slechtste geval'!D337</f>
        <v>227.40393056743267</v>
      </c>
      <c r="G83" s="406"/>
      <c r="H83" s="405">
        <f>'SCENARIO 2 - Beste geval'!E338</f>
        <v>0.31615339711958279</v>
      </c>
      <c r="I83" s="405">
        <f>'SCENARIO 1 - Gemiddeld'!E337</f>
        <v>1.0894713162709522</v>
      </c>
      <c r="J83" s="405">
        <f>'SCENARIO 3 - Slechtste geval'!E337</f>
        <v>4.5480786113486538</v>
      </c>
      <c r="K83" s="405"/>
    </row>
    <row r="84" spans="2:11" x14ac:dyDescent="0.2">
      <c r="B84" s="177"/>
      <c r="D84" s="406"/>
      <c r="E84" s="406"/>
      <c r="F84" s="406"/>
      <c r="G84" s="406"/>
      <c r="H84" s="405"/>
      <c r="I84" s="405"/>
      <c r="J84" s="405"/>
      <c r="K84" s="405"/>
    </row>
    <row r="85" spans="2:11" x14ac:dyDescent="0.2">
      <c r="B85" s="270" t="str">
        <f>'SCENARIO 1 - Gemiddeld'!B339</f>
        <v>O.b.v. productverkoop, GLB st. &amp; overige</v>
      </c>
      <c r="C85" t="str">
        <f>'SCENARIO 1 - Gemiddeld'!C339</f>
        <v>[ha]</v>
      </c>
      <c r="D85" s="406">
        <f>'SCENARIO 2 - Beste geval'!D340</f>
        <v>15.262923822857813</v>
      </c>
      <c r="E85" s="406">
        <f>'SCENARIO 1 - Gemiddeld'!D339</f>
        <v>52.700795192919799</v>
      </c>
      <c r="F85" s="406">
        <f>'SCENARIO 3 - Slechtste geval'!D339</f>
        <v>218.86418137962693</v>
      </c>
      <c r="G85" s="406"/>
      <c r="H85" s="405">
        <f>'SCENARIO 2 - Beste geval'!E340</f>
        <v>0.30525847645715626</v>
      </c>
      <c r="I85" s="405">
        <f>'SCENARIO 1 - Gemiddeld'!E339</f>
        <v>1.0540159038583961</v>
      </c>
      <c r="J85" s="405">
        <f>'SCENARIO 3 - Slechtste geval'!E339</f>
        <v>4.3772836275925391</v>
      </c>
      <c r="K85" s="405"/>
    </row>
    <row r="86" spans="2:11" x14ac:dyDescent="0.2">
      <c r="B86" s="177"/>
      <c r="D86" s="406"/>
      <c r="E86" s="406"/>
      <c r="F86" s="406"/>
      <c r="G86" s="406"/>
      <c r="H86" s="405"/>
      <c r="I86" s="405"/>
      <c r="J86" s="405"/>
      <c r="K86" s="405"/>
    </row>
    <row r="87" spans="2:11" x14ac:dyDescent="0.2">
      <c r="B87" s="270" t="str">
        <f>'SCENARIO 1 - Gemiddeld'!B341</f>
        <v>O.b.v. productv., GLB st., overige &amp; CO2-c.</v>
      </c>
      <c r="C87" t="str">
        <f>'SCENARIO 1 - Gemiddeld'!C341</f>
        <v>[ha]</v>
      </c>
      <c r="D87" s="406">
        <f>'SCENARIO 2 - Beste geval'!D342</f>
        <v>14.371467940987905</v>
      </c>
      <c r="E87" s="406">
        <f>'SCENARIO 1 - Gemiddeld'!D341</f>
        <v>48.882810767425191</v>
      </c>
      <c r="F87" s="406">
        <f>'SCENARIO 3 - Slechtste geval'!D341</f>
        <v>200.76930173058724</v>
      </c>
      <c r="G87" s="406"/>
      <c r="H87" s="405">
        <f>'SCENARIO 2 - Beste geval'!E342</f>
        <v>0.28742935881975806</v>
      </c>
      <c r="I87" s="405">
        <f>'SCENARIO 1 - Gemiddeld'!E341</f>
        <v>0.97765621534850378</v>
      </c>
      <c r="J87" s="405">
        <f>'SCENARIO 3 - Slechtste geval'!E341</f>
        <v>4.0153860346117449</v>
      </c>
      <c r="K87" s="405"/>
    </row>
    <row r="88" spans="2:11" x14ac:dyDescent="0.2">
      <c r="B88" s="177"/>
      <c r="D88" s="406"/>
      <c r="E88" s="406"/>
      <c r="F88" s="406"/>
      <c r="G88" s="406"/>
      <c r="H88" s="405"/>
      <c r="I88" s="405"/>
      <c r="J88" s="405"/>
      <c r="K88" s="405"/>
    </row>
    <row r="89" spans="2:11" x14ac:dyDescent="0.2">
      <c r="B89" s="38" t="str">
        <f>'SCENARIO 1 - Gemiddeld'!B343</f>
        <v>O.b.v. productv., GLB beide, overige &amp; CO2</v>
      </c>
      <c r="C89" t="str">
        <f>'SCENARIO 1 - Gemiddeld'!C343</f>
        <v>[ha]</v>
      </c>
      <c r="D89" s="406">
        <f>'SCENARIO 2 - Beste geval'!D344</f>
        <v>14.371467940987905</v>
      </c>
      <c r="E89" s="406">
        <f>'SCENARIO 1 - Gemiddeld'!D343</f>
        <v>48.882810767425191</v>
      </c>
      <c r="F89" s="406">
        <f>'SCENARIO 3 - Slechtste geval'!D343</f>
        <v>200.76930173058724</v>
      </c>
      <c r="G89" s="406"/>
      <c r="H89" s="405">
        <f>'SCENARIO 2 - Beste geval'!E344</f>
        <v>0.28742935881975806</v>
      </c>
      <c r="I89" s="405">
        <f>'SCENARIO 1 - Gemiddeld'!E343</f>
        <v>0.97765621534850378</v>
      </c>
      <c r="J89" s="405">
        <f>'SCENARIO 3 - Slechtste geval'!E343</f>
        <v>4.0153860346117449</v>
      </c>
      <c r="K89" s="405"/>
    </row>
    <row r="90" spans="2:11" x14ac:dyDescent="0.2">
      <c r="B90" s="177"/>
      <c r="D90" s="406"/>
      <c r="E90" s="406"/>
      <c r="F90" s="406"/>
      <c r="G90" s="406"/>
      <c r="H90" s="405"/>
      <c r="I90" s="405"/>
      <c r="J90" s="405"/>
      <c r="K90" s="405"/>
    </row>
    <row r="91" spans="2:11" x14ac:dyDescent="0.2">
      <c r="B91" s="297" t="str">
        <f>'SCENARIO 1 - Gemiddeld'!B345</f>
        <v>Minimale aantal hectares - t.b.v. kostenneutraal &amp; minimaal inkomen</v>
      </c>
    </row>
    <row r="92" spans="2:11" x14ac:dyDescent="0.2">
      <c r="B92" s="296" t="str">
        <f>'SCENARIO 1 - Gemiddeld'!B346</f>
        <v>Bij gelijkblijvende kosten, verkoopprijs &amp; gewasopbrengst</v>
      </c>
    </row>
    <row r="93" spans="2:11" x14ac:dyDescent="0.2">
      <c r="B93" s="296"/>
    </row>
    <row r="94" spans="2:11" x14ac:dyDescent="0.2">
      <c r="B94" t="str">
        <f>'SCENARIO 1 - Gemiddeld'!B348</f>
        <v>O.b.v. productverkoop</v>
      </c>
      <c r="C94" t="str">
        <f>'SCENARIO 1 - Gemiddeld'!C348</f>
        <v>[ha]</v>
      </c>
      <c r="D94" s="406">
        <f>'SCENARIO 2 - Beste geval'!D349</f>
        <v>21.521220251331805</v>
      </c>
      <c r="E94" s="406">
        <f>'SCENARIO 1 - Gemiddeld'!D348</f>
        <v>66.052823854410022</v>
      </c>
      <c r="F94" s="406">
        <f>'SCENARIO 3 - Slechtste geval'!D348</f>
        <v>264.05154737979768</v>
      </c>
      <c r="G94" s="406"/>
      <c r="H94" s="405">
        <f>'SCENARIO 2 - Beste geval'!E349</f>
        <v>0.43042440502663604</v>
      </c>
      <c r="I94" s="405">
        <f>'SCENARIO 1 - Gemiddeld'!E348</f>
        <v>1.3210564770882005</v>
      </c>
      <c r="J94" s="405">
        <f>'SCENARIO 3 - Slechtste geval'!E348</f>
        <v>5.2810309475959532</v>
      </c>
      <c r="K94" s="405"/>
    </row>
    <row r="96" spans="2:11" x14ac:dyDescent="0.2">
      <c r="B96" s="177" t="str">
        <f>'SCENARIO 1 - Gemiddeld'!B350</f>
        <v>O.b.v. productverkoop &amp; GLB standaard</v>
      </c>
      <c r="C96" t="str">
        <f>'SCENARIO 1 - Gemiddeld'!C350</f>
        <v>[ha]</v>
      </c>
      <c r="D96" s="406">
        <f>'SCENARIO 2 - Beste geval'!D351</f>
        <v>20.829921549568162</v>
      </c>
      <c r="E96" s="406">
        <f>'SCENARIO 1 - Gemiddeld'!D350</f>
        <v>62.705647418877419</v>
      </c>
      <c r="F96" s="406">
        <f>'SCENARIO 3 - Slechtste geval'!D350</f>
        <v>243.44576371011419</v>
      </c>
      <c r="G96" s="406"/>
      <c r="H96" s="405">
        <f>'SCENARIO 2 - Beste geval'!E351</f>
        <v>0.41659843099136312</v>
      </c>
      <c r="I96" s="405">
        <f>'SCENARIO 1 - Gemiddeld'!E350</f>
        <v>1.2541129483775484</v>
      </c>
      <c r="J96" s="405">
        <f>'SCENARIO 3 - Slechtste geval'!E350</f>
        <v>4.8689152742022834</v>
      </c>
      <c r="K96" s="405"/>
    </row>
    <row r="97" spans="2:14" x14ac:dyDescent="0.2">
      <c r="B97" s="177"/>
      <c r="D97" s="406"/>
      <c r="E97" s="406"/>
      <c r="F97" s="406"/>
      <c r="G97" s="406"/>
      <c r="H97" s="405"/>
      <c r="I97" s="405"/>
      <c r="J97" s="405"/>
      <c r="K97" s="405"/>
    </row>
    <row r="98" spans="2:14" x14ac:dyDescent="0.2">
      <c r="B98" s="270" t="str">
        <f>'SCENARIO 1 - Gemiddeld'!B352</f>
        <v>O.b.v. productverkoop, GLB st. &amp; overige</v>
      </c>
      <c r="C98" t="str">
        <f>'SCENARIO 1 - Gemiddeld'!C352</f>
        <v>[ha]</v>
      </c>
      <c r="D98" s="406">
        <f>'SCENARIO 2 - Beste geval'!D353</f>
        <v>20.11210436096691</v>
      </c>
      <c r="E98" s="406">
        <f>'SCENARIO 1 - Gemiddeld'!D352</f>
        <v>60.664974519436242</v>
      </c>
      <c r="F98" s="406">
        <f>'SCENARIO 3 - Slechtste geval'!D352</f>
        <v>234.30359207864487</v>
      </c>
      <c r="G98" s="406"/>
      <c r="H98" s="405">
        <f>'SCENARIO 2 - Beste geval'!E353</f>
        <v>0.40224208721933813</v>
      </c>
      <c r="I98" s="405">
        <f>'SCENARIO 1 - Gemiddeld'!E352</f>
        <v>1.2132994903887251</v>
      </c>
      <c r="J98" s="405">
        <f>'SCENARIO 3 - Slechtste geval'!E352</f>
        <v>4.6860718415728977</v>
      </c>
      <c r="K98" s="405"/>
    </row>
    <row r="99" spans="2:14" x14ac:dyDescent="0.2">
      <c r="B99" s="177"/>
      <c r="D99" s="406"/>
      <c r="E99" s="406"/>
      <c r="F99" s="406"/>
      <c r="G99" s="406"/>
      <c r="H99" s="405"/>
      <c r="I99" s="405"/>
      <c r="J99" s="405"/>
      <c r="K99" s="405"/>
    </row>
    <row r="100" spans="2:14" x14ac:dyDescent="0.2">
      <c r="B100" s="270" t="str">
        <f>'SCENARIO 1 - Gemiddeld'!B354</f>
        <v>O.b.v. productv., GLB st., overige &amp; CO2-c.</v>
      </c>
      <c r="C100" t="str">
        <f>'SCENARIO 1 - Gemiddeld'!C354</f>
        <v>[ha]</v>
      </c>
      <c r="D100" s="406">
        <f>'SCENARIO 2 - Beste geval'!D355</f>
        <v>18.937424205483545</v>
      </c>
      <c r="E100" s="406">
        <f>'SCENARIO 1 - Gemiddeld'!D354</f>
        <v>56.270013740564508</v>
      </c>
      <c r="F100" s="406">
        <f>'SCENARIO 3 - Slechtste geval'!D354</f>
        <v>214.93223915430832</v>
      </c>
      <c r="G100" s="406"/>
      <c r="H100" s="405">
        <f>'SCENARIO 2 - Beste geval'!E355</f>
        <v>0.37874848410967082</v>
      </c>
      <c r="I100" s="405">
        <f>'SCENARIO 1 - Gemiddeld'!E354</f>
        <v>1.1254002748112901</v>
      </c>
      <c r="J100" s="405">
        <f>'SCENARIO 3 - Slechtste geval'!E354</f>
        <v>4.2986447830861669</v>
      </c>
      <c r="K100" s="405"/>
    </row>
    <row r="101" spans="2:14" x14ac:dyDescent="0.2">
      <c r="B101" s="177"/>
      <c r="D101" s="406"/>
      <c r="E101" s="406"/>
      <c r="F101" s="406"/>
      <c r="G101" s="406"/>
      <c r="H101" s="405"/>
      <c r="I101" s="405"/>
      <c r="J101" s="405"/>
      <c r="K101" s="405"/>
    </row>
    <row r="102" spans="2:14" x14ac:dyDescent="0.2">
      <c r="B102" s="38" t="str">
        <f>'SCENARIO 1 - Gemiddeld'!B356</f>
        <v>O.b.v. productv., GLB beide, overige &amp; CO2</v>
      </c>
      <c r="C102" t="str">
        <f>'SCENARIO 1 - Gemiddeld'!C356</f>
        <v>[ha]</v>
      </c>
      <c r="D102" s="406">
        <f>'SCENARIO 2 - Beste geval'!D357</f>
        <v>18.937424205483545</v>
      </c>
      <c r="E102" s="406">
        <f>'SCENARIO 1 - Gemiddeld'!D356</f>
        <v>56.270013740564508</v>
      </c>
      <c r="F102" s="406">
        <f>'SCENARIO 3 - Slechtste geval'!D356</f>
        <v>214.93223915430832</v>
      </c>
      <c r="G102" s="406"/>
      <c r="H102" s="405">
        <f>'SCENARIO 2 - Beste geval'!E357</f>
        <v>0.37874848410967082</v>
      </c>
      <c r="I102" s="405">
        <f>'SCENARIO 1 - Gemiddeld'!E356</f>
        <v>1.1254002748112901</v>
      </c>
      <c r="J102" s="405">
        <f>'SCENARIO 3 - Slechtste geval'!E356</f>
        <v>4.2986447830861669</v>
      </c>
      <c r="K102" s="405"/>
    </row>
    <row r="103" spans="2:14" x14ac:dyDescent="0.2">
      <c r="B103" s="177"/>
      <c r="D103" s="406"/>
      <c r="E103" s="406"/>
      <c r="F103" s="406"/>
      <c r="G103" s="406"/>
      <c r="H103" s="405"/>
      <c r="I103" s="405"/>
      <c r="J103" s="405"/>
      <c r="K103" s="405"/>
    </row>
    <row r="104" spans="2:14" x14ac:dyDescent="0.2">
      <c r="B104" s="269" t="str">
        <f>'SCENARIO 1 - Gemiddeld'!B358</f>
        <v>Minimale ton droge stof - t.b.v. kostenneutraal</v>
      </c>
    </row>
    <row r="105" spans="2:14" x14ac:dyDescent="0.2">
      <c r="B105" s="52" t="str">
        <f>'SCENARIO 1 - Gemiddeld'!B359</f>
        <v>Bij gelijkblijvende kosten, hectares &amp; verkoopprijs</v>
      </c>
    </row>
    <row r="107" spans="2:14" x14ac:dyDescent="0.2">
      <c r="B107" t="str">
        <f>'SCENARIO 1 - Gemiddeld'!B361</f>
        <v>O.b.v. productverkoop</v>
      </c>
      <c r="C107" t="str">
        <f>'SCENARIO 1 - Gemiddeld'!C361</f>
        <v>[t DS]</v>
      </c>
      <c r="D107" s="407">
        <f>'SCENARIO 2 - Beste geval'!D362</f>
        <v>244.9843681513423</v>
      </c>
      <c r="E107" s="407">
        <f>'SCENARIO 1 - Gemiddeld'!D361</f>
        <v>688.57584517735052</v>
      </c>
      <c r="F107" s="407">
        <f>'SCENARIO 3 - Slechtste geval'!D361</f>
        <v>2219.8670844924463</v>
      </c>
      <c r="G107" s="407"/>
      <c r="H107" s="406">
        <f>'SCENARIO 2 - Beste geval'!E362</f>
        <v>4.8996873630268452</v>
      </c>
      <c r="I107" s="406">
        <f>'SCENARIO 1 - Gemiddeld'!E361</f>
        <v>13.77151690354701</v>
      </c>
      <c r="J107" s="406">
        <f>'SCENARIO 3 - Slechtste geval'!E361</f>
        <v>44.397341689848922</v>
      </c>
      <c r="K107" s="406"/>
      <c r="L107" s="405">
        <f>'SCENARIO 2 - Beste geval'!F362</f>
        <v>0.32664582420178967</v>
      </c>
      <c r="M107" s="405">
        <f>'SCENARIO 1 - Gemiddeld'!F361</f>
        <v>1.1476264086289174</v>
      </c>
      <c r="N107" s="405">
        <f>'SCENARIO 3 - Slechtste geval'!F361</f>
        <v>4.9330379655387695</v>
      </c>
    </row>
    <row r="108" spans="2:14" x14ac:dyDescent="0.2">
      <c r="B108" s="52"/>
    </row>
    <row r="109" spans="2:14" x14ac:dyDescent="0.2">
      <c r="B109" s="177" t="str">
        <f>'SCENARIO 1 - Gemiddeld'!B363</f>
        <v>O.b.v. productverkoop &amp; GLB standaard</v>
      </c>
      <c r="C109" t="str">
        <f>'SCENARIO 1 - Gemiddeld'!C363</f>
        <v>[t DS]</v>
      </c>
      <c r="D109" s="407">
        <f>'SCENARIO 2 - Beste geval'!D364</f>
        <v>237.11504783968712</v>
      </c>
      <c r="E109" s="407">
        <f>'SCENARIO 1 - Gemiddeld'!D363</f>
        <v>653.68278976257125</v>
      </c>
      <c r="F109" s="407">
        <f>'SCENARIO 3 - Slechtste geval'!D363</f>
        <v>2046.6353751068946</v>
      </c>
      <c r="G109" s="407"/>
      <c r="H109" s="406">
        <f>'SCENARIO 2 - Beste geval'!E364</f>
        <v>4.7423009567937422</v>
      </c>
      <c r="I109" s="406">
        <f>'SCENARIO 1 - Gemiddeld'!E363</f>
        <v>13.073655795251426</v>
      </c>
      <c r="J109" s="406">
        <f>'SCENARIO 3 - Slechtste geval'!E363</f>
        <v>40.932707502137895</v>
      </c>
      <c r="K109" s="406"/>
      <c r="L109" s="405">
        <f>'SCENARIO 2 - Beste geval'!F364</f>
        <v>0.31615339711958279</v>
      </c>
      <c r="M109" s="405">
        <f>'SCENARIO 1 - Gemiddeld'!F363</f>
        <v>1.0894713162709522</v>
      </c>
      <c r="N109" s="405">
        <f>'SCENARIO 3 - Slechtste geval'!F363</f>
        <v>4.5480786113486547</v>
      </c>
    </row>
    <row r="110" spans="2:14" x14ac:dyDescent="0.2">
      <c r="B110" s="296"/>
    </row>
    <row r="111" spans="2:14" x14ac:dyDescent="0.2">
      <c r="B111" s="270" t="str">
        <f>'SCENARIO 1 - Gemiddeld'!B365</f>
        <v>O.b.v. productverkoop, GLB st. &amp; overige</v>
      </c>
      <c r="C111" t="str">
        <f>'SCENARIO 1 - Gemiddeld'!C365</f>
        <v>[t DS]</v>
      </c>
      <c r="D111" s="407">
        <f>'SCENARIO 2 - Beste geval'!D366</f>
        <v>228.94385734286723</v>
      </c>
      <c r="E111" s="407">
        <f>'SCENARIO 1 - Gemiddeld'!D365</f>
        <v>632.40954231503758</v>
      </c>
      <c r="F111" s="407">
        <f>'SCENARIO 3 - Slechtste geval'!D365</f>
        <v>1969.7776324166425</v>
      </c>
      <c r="G111" s="407"/>
      <c r="H111" s="406">
        <f>'SCENARIO 2 - Beste geval'!E366</f>
        <v>4.5788771468573444</v>
      </c>
      <c r="I111" s="406">
        <f>'SCENARIO 1 - Gemiddeld'!E365</f>
        <v>12.648190846300752</v>
      </c>
      <c r="J111" s="406">
        <f>'SCENARIO 3 - Slechtste geval'!E365</f>
        <v>39.395552648332853</v>
      </c>
      <c r="K111" s="406"/>
      <c r="L111" s="405">
        <f>'SCENARIO 2 - Beste geval'!F366</f>
        <v>0.30525847645715626</v>
      </c>
      <c r="M111" s="405">
        <f>'SCENARIO 1 - Gemiddeld'!F365</f>
        <v>1.0540159038583958</v>
      </c>
      <c r="N111" s="405">
        <f>'SCENARIO 3 - Slechtste geval'!F365</f>
        <v>4.3772836275925391</v>
      </c>
    </row>
    <row r="112" spans="2:14" x14ac:dyDescent="0.2">
      <c r="B112" s="177"/>
    </row>
    <row r="113" spans="2:14" x14ac:dyDescent="0.2">
      <c r="B113" s="270" t="str">
        <f>'SCENARIO 1 - Gemiddeld'!B367</f>
        <v>O.b.v. productv., GLB st., overige &amp; CO2-c.</v>
      </c>
      <c r="C113" t="str">
        <f>'SCENARIO 1 - Gemiddeld'!C367</f>
        <v>[t DS]</v>
      </c>
      <c r="D113" s="407">
        <f>'SCENARIO 2 - Beste geval'!D368</f>
        <v>215.57201911481857</v>
      </c>
      <c r="E113" s="407">
        <f>'SCENARIO 1 - Gemiddeld'!D367</f>
        <v>586.59372920910232</v>
      </c>
      <c r="F113" s="407">
        <f>'SCENARIO 3 - Slechtste geval'!D367</f>
        <v>1806.9237155752855</v>
      </c>
      <c r="G113" s="407"/>
      <c r="H113" s="406">
        <f>'SCENARIO 2 - Beste geval'!E368</f>
        <v>4.3114403822963707</v>
      </c>
      <c r="I113" s="406">
        <f>'SCENARIO 1 - Gemiddeld'!E367</f>
        <v>11.731874584182048</v>
      </c>
      <c r="J113" s="406">
        <f>'SCENARIO 3 - Slechtste geval'!E367</f>
        <v>36.138474311505711</v>
      </c>
      <c r="K113" s="406"/>
      <c r="L113" s="405">
        <f>'SCENARIO 2 - Beste geval'!F368</f>
        <v>0.28742935881975806</v>
      </c>
      <c r="M113" s="405">
        <f>'SCENARIO 1 - Gemiddeld'!F367</f>
        <v>0.97765621534850389</v>
      </c>
      <c r="N113" s="405">
        <f>'SCENARIO 3 - Slechtste geval'!F367</f>
        <v>4.0153860346117458</v>
      </c>
    </row>
    <row r="114" spans="2:14" x14ac:dyDescent="0.2">
      <c r="B114" s="177"/>
    </row>
    <row r="115" spans="2:14" x14ac:dyDescent="0.2">
      <c r="B115" s="38" t="str">
        <f>'SCENARIO 1 - Gemiddeld'!B369</f>
        <v>O.b.v. productv., GLB beide, overige &amp; CO2</v>
      </c>
      <c r="C115" t="str">
        <f>'SCENARIO 1 - Gemiddeld'!C369</f>
        <v>[t DS]</v>
      </c>
      <c r="D115" s="407">
        <f>'SCENARIO 2 - Beste geval'!D370</f>
        <v>215.57201911481857</v>
      </c>
      <c r="E115" s="407">
        <f>'SCENARIO 1 - Gemiddeld'!D369</f>
        <v>586.59372920910232</v>
      </c>
      <c r="F115" s="407">
        <f>'SCENARIO 3 - Slechtste geval'!D369</f>
        <v>1806.9237155752855</v>
      </c>
      <c r="G115" s="407"/>
      <c r="H115" s="406">
        <f>'SCENARIO 2 - Beste geval'!E370</f>
        <v>4.3114403822963707</v>
      </c>
      <c r="I115" s="406">
        <f>'SCENARIO 1 - Gemiddeld'!E369</f>
        <v>11.731874584182048</v>
      </c>
      <c r="J115" s="406">
        <f>'SCENARIO 3 - Slechtste geval'!E369</f>
        <v>36.138474311505711</v>
      </c>
      <c r="K115" s="406"/>
      <c r="L115" s="405">
        <f>'SCENARIO 2 - Beste geval'!F370</f>
        <v>0.28742935881975806</v>
      </c>
      <c r="M115" s="405">
        <f>'SCENARIO 1 - Gemiddeld'!F369</f>
        <v>0.97765621534850389</v>
      </c>
      <c r="N115" s="405">
        <f>'SCENARIO 3 - Slechtste geval'!F369</f>
        <v>4.0153860346117458</v>
      </c>
    </row>
    <row r="117" spans="2:14" x14ac:dyDescent="0.2">
      <c r="B117" s="269" t="str">
        <f>'SCENARIO 1 - Gemiddeld'!B371</f>
        <v>Minimale ton droge stof - t.b.v. kostenneutraal &amp; minimaal inkomen</v>
      </c>
    </row>
    <row r="118" spans="2:14" x14ac:dyDescent="0.2">
      <c r="B118" s="52" t="str">
        <f>'SCENARIO 1 - Gemiddeld'!B372</f>
        <v>Bij gelijkblijvende kosten, hectares &amp; verkoopprijs</v>
      </c>
    </row>
    <row r="120" spans="2:14" x14ac:dyDescent="0.2">
      <c r="B120" t="str">
        <f>'SCENARIO 1 - Gemiddeld'!B374</f>
        <v>O.b.v. productverkoop</v>
      </c>
      <c r="C120" t="str">
        <f>'SCENARIO 1 - Gemiddeld'!C374</f>
        <v>[t DS]</v>
      </c>
      <c r="D120" s="407">
        <f>'SCENARIO 2 - Beste geval'!D375</f>
        <v>322.81830376997715</v>
      </c>
      <c r="E120" s="407">
        <f>'SCENARIO 1 - Gemiddeld'!D374</f>
        <v>792.63388625292032</v>
      </c>
      <c r="F120" s="407">
        <f>'SCENARIO 3 - Slechtste geval'!D374</f>
        <v>2376.4639264181792</v>
      </c>
      <c r="G120" s="407"/>
      <c r="H120" s="406">
        <f>'SCENARIO 2 - Beste geval'!E375</f>
        <v>6.4563660753995418</v>
      </c>
      <c r="I120" s="406">
        <f>'SCENARIO 1 - Gemiddeld'!E374</f>
        <v>15.852677725058408</v>
      </c>
      <c r="J120" s="406">
        <f>'SCENARIO 3 - Slechtste geval'!E374</f>
        <v>47.529278528363591</v>
      </c>
      <c r="K120" s="406"/>
      <c r="L120" s="405">
        <f>'SCENARIO 2 - Beste geval'!F375</f>
        <v>0.43042440502663615</v>
      </c>
      <c r="M120" s="405">
        <f>'SCENARIO 1 - Gemiddeld'!F374</f>
        <v>1.3210564770882005</v>
      </c>
      <c r="N120" s="405">
        <f>'SCENARIO 3 - Slechtste geval'!F374</f>
        <v>5.2810309475959549</v>
      </c>
    </row>
    <row r="121" spans="2:14" x14ac:dyDescent="0.2">
      <c r="B121" s="52"/>
    </row>
    <row r="122" spans="2:14" x14ac:dyDescent="0.2">
      <c r="B122" s="177" t="str">
        <f>'SCENARIO 1 - Gemiddeld'!B376</f>
        <v>O.b.v. productverkoop &amp; GLB standaard</v>
      </c>
      <c r="C122" t="str">
        <f>'SCENARIO 1 - Gemiddeld'!C376</f>
        <v>[t DS]</v>
      </c>
      <c r="D122" s="407">
        <f>'SCENARIO 2 - Beste geval'!D377</f>
        <v>312.44882324352244</v>
      </c>
      <c r="E122" s="407">
        <f>'SCENARIO 1 - Gemiddeld'!D376</f>
        <v>752.46776902652903</v>
      </c>
      <c r="F122" s="407">
        <f>'SCENARIO 3 - Slechtste geval'!D376</f>
        <v>2191.0118733910281</v>
      </c>
      <c r="G122" s="407"/>
      <c r="H122" s="406">
        <f>'SCENARIO 2 - Beste geval'!E377</f>
        <v>6.2489764648704478</v>
      </c>
      <c r="I122" s="406">
        <f>'SCENARIO 1 - Gemiddeld'!E376</f>
        <v>15.049355380530582</v>
      </c>
      <c r="J122" s="406">
        <f>'SCENARIO 3 - Slechtste geval'!E376</f>
        <v>43.820237467820562</v>
      </c>
      <c r="K122" s="406"/>
      <c r="L122" s="405">
        <f>'SCENARIO 2 - Beste geval'!F377</f>
        <v>0.41659843099136323</v>
      </c>
      <c r="M122" s="405">
        <f>'SCENARIO 1 - Gemiddeld'!F376</f>
        <v>1.2541129483775482</v>
      </c>
      <c r="N122" s="405">
        <f>'SCENARIO 3 - Slechtste geval'!F376</f>
        <v>4.8689152742022852</v>
      </c>
    </row>
    <row r="123" spans="2:14" x14ac:dyDescent="0.2">
      <c r="B123" s="296"/>
    </row>
    <row r="124" spans="2:14" x14ac:dyDescent="0.2">
      <c r="B124" s="270" t="str">
        <f>'SCENARIO 1 - Gemiddeld'!B378</f>
        <v>O.b.v. productverkoop, GLB st. &amp; overige</v>
      </c>
      <c r="C124" t="str">
        <f>'SCENARIO 1 - Gemiddeld'!C378</f>
        <v>[t DS]</v>
      </c>
      <c r="D124" s="407">
        <f>'SCENARIO 2 - Beste geval'!D379</f>
        <v>301.68156541450367</v>
      </c>
      <c r="E124" s="407">
        <f>'SCENARIO 1 - Gemiddeld'!D378</f>
        <v>727.97969423323491</v>
      </c>
      <c r="F124" s="407">
        <f>'SCENARIO 3 - Slechtste geval'!D378</f>
        <v>2108.7323287078043</v>
      </c>
      <c r="G124" s="407"/>
      <c r="H124" s="406">
        <f>'SCENARIO 2 - Beste geval'!E379</f>
        <v>6.0336313082900723</v>
      </c>
      <c r="I124" s="406">
        <f>'SCENARIO 1 - Gemiddeld'!E378</f>
        <v>14.5595938846647</v>
      </c>
      <c r="J124" s="406">
        <f>'SCENARIO 3 - Slechtste geval'!E378</f>
        <v>42.174646574156085</v>
      </c>
      <c r="K124" s="406"/>
      <c r="L124" s="405">
        <f>'SCENARIO 2 - Beste geval'!F379</f>
        <v>0.40224208721933824</v>
      </c>
      <c r="M124" s="405">
        <f>'SCENARIO 1 - Gemiddeld'!F378</f>
        <v>1.2132994903887249</v>
      </c>
      <c r="N124" s="405">
        <f>'SCENARIO 3 - Slechtste geval'!F378</f>
        <v>4.6860718415728986</v>
      </c>
    </row>
    <row r="125" spans="2:14" x14ac:dyDescent="0.2">
      <c r="B125" s="177"/>
    </row>
    <row r="126" spans="2:14" x14ac:dyDescent="0.2">
      <c r="B126" s="270" t="str">
        <f>'SCENARIO 1 - Gemiddeld'!B380</f>
        <v>O.b.v. productv., GLB st., overige &amp; CO2-c.</v>
      </c>
      <c r="C126" t="str">
        <f>'SCENARIO 1 - Gemiddeld'!C380</f>
        <v>[t DS]</v>
      </c>
      <c r="D126" s="407">
        <f>'SCENARIO 2 - Beste geval'!D381</f>
        <v>284.06136308225314</v>
      </c>
      <c r="E126" s="407">
        <f>'SCENARIO 1 - Gemiddeld'!D380</f>
        <v>675.24016488677421</v>
      </c>
      <c r="F126" s="407">
        <f>'SCENARIO 3 - Slechtste geval'!D380</f>
        <v>1934.390152388775</v>
      </c>
      <c r="G126" s="407"/>
      <c r="H126" s="406">
        <f>'SCENARIO 2 - Beste geval'!E381</f>
        <v>5.6812272616450619</v>
      </c>
      <c r="I126" s="406">
        <f>'SCENARIO 1 - Gemiddeld'!E380</f>
        <v>13.504803297735483</v>
      </c>
      <c r="J126" s="406">
        <f>'SCENARIO 3 - Slechtste geval'!E380</f>
        <v>38.687803047775503</v>
      </c>
      <c r="K126" s="406"/>
      <c r="L126" s="405">
        <f>'SCENARIO 2 - Beste geval'!F381</f>
        <v>0.37874848410967082</v>
      </c>
      <c r="M126" s="405">
        <f>'SCENARIO 1 - Gemiddeld'!F380</f>
        <v>1.1254002748112901</v>
      </c>
      <c r="N126" s="405">
        <f>'SCENARIO 3 - Slechtste geval'!F380</f>
        <v>4.2986447830861678</v>
      </c>
    </row>
    <row r="127" spans="2:14" x14ac:dyDescent="0.2">
      <c r="B127" s="177"/>
    </row>
    <row r="128" spans="2:14" x14ac:dyDescent="0.2">
      <c r="B128" s="38" t="str">
        <f>'SCENARIO 1 - Gemiddeld'!B382</f>
        <v>O.b.v. productv., GLB beide, overige &amp; CO2</v>
      </c>
      <c r="C128" t="str">
        <f>'SCENARIO 1 - Gemiddeld'!C382</f>
        <v>[t DS]</v>
      </c>
      <c r="D128" s="407">
        <f>'SCENARIO 2 - Beste geval'!D383</f>
        <v>284.06136308225314</v>
      </c>
      <c r="E128" s="407">
        <f>'SCENARIO 1 - Gemiddeld'!D382</f>
        <v>675.24016488677421</v>
      </c>
      <c r="F128" s="407">
        <f>'SCENARIO 3 - Slechtste geval'!D382</f>
        <v>1934.390152388775</v>
      </c>
      <c r="G128" s="407"/>
      <c r="H128" s="406">
        <f>'SCENARIO 2 - Beste geval'!E383</f>
        <v>5.6812272616450619</v>
      </c>
      <c r="I128" s="406">
        <f>'SCENARIO 1 - Gemiddeld'!E382</f>
        <v>13.504803297735483</v>
      </c>
      <c r="J128" s="406">
        <f>'SCENARIO 3 - Slechtste geval'!E382</f>
        <v>38.687803047775503</v>
      </c>
      <c r="K128" s="406"/>
      <c r="L128" s="405">
        <f>'SCENARIO 2 - Beste geval'!F383</f>
        <v>0.37874848410967082</v>
      </c>
      <c r="M128" s="405">
        <f>'SCENARIO 1 - Gemiddeld'!F382</f>
        <v>1.1254002748112901</v>
      </c>
      <c r="N128" s="405">
        <f>'SCENARIO 3 - Slechtste geval'!F382</f>
        <v>4.2986447830861678</v>
      </c>
    </row>
    <row r="130" spans="2:14" x14ac:dyDescent="0.2">
      <c r="B130" s="269" t="str">
        <f>'SCENARIO 1 - Gemiddeld'!B384</f>
        <v>Minimale benodigde opbrengst - t.b.v. minimaal inkomen</v>
      </c>
    </row>
    <row r="132" spans="2:14" x14ac:dyDescent="0.2">
      <c r="B132" t="str">
        <f>'SCENARIO 1 - Gemiddeld'!B386</f>
        <v>O.b.v. kosten + minimaal inkomen</v>
      </c>
      <c r="C132" t="str">
        <f>'SCENARIO 1 - Gemiddeld'!C386</f>
        <v>[€]</v>
      </c>
      <c r="D132" s="3">
        <f>'SCENARIO 2 - Beste geval'!D387</f>
        <v>291810.75814860919</v>
      </c>
      <c r="E132" s="3">
        <f>'SCENARIO 1 - Gemiddeld'!D386</f>
        <v>466027.22365900333</v>
      </c>
      <c r="F132" s="3">
        <f>'SCENARIO 3 - Slechtste geval'!D386</f>
        <v>779905.19119746319</v>
      </c>
      <c r="G132" s="3"/>
      <c r="H132" s="3">
        <f>'SCENARIO 2 - Beste geval'!E387</f>
        <v>5836.215162972183</v>
      </c>
      <c r="I132" s="3">
        <f>'SCENARIO 1 - Gemiddeld'!E386</f>
        <v>9320.5444731800671</v>
      </c>
      <c r="J132" s="3">
        <f>'SCENARIO 3 - Slechtste geval'!E386</f>
        <v>15598.103823949265</v>
      </c>
      <c r="K132" s="3"/>
      <c r="L132" s="3">
        <f>'SCENARIO 2 - Beste geval'!F387</f>
        <v>389.08101086481224</v>
      </c>
      <c r="M132" s="3">
        <f>'SCENARIO 1 - Gemiddeld'!F386</f>
        <v>776.71203943167211</v>
      </c>
      <c r="N132" s="3">
        <f>'SCENARIO 3 - Slechtste geval'!F386</f>
        <v>1733.122647105474</v>
      </c>
    </row>
  </sheetData>
  <mergeCells count="9">
    <mergeCell ref="AF6:AH6"/>
    <mergeCell ref="AJ6:AL6"/>
    <mergeCell ref="AN6:AP6"/>
    <mergeCell ref="D6:F6"/>
    <mergeCell ref="H6:J6"/>
    <mergeCell ref="L6:N6"/>
    <mergeCell ref="V6:X6"/>
    <mergeCell ref="R6:T6"/>
    <mergeCell ref="AB6:AD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15C0F-8B44-464E-9FF6-F47EF8EA2D67}">
  <sheetPr>
    <tabColor theme="9"/>
  </sheetPr>
  <dimension ref="B1:AJ402"/>
  <sheetViews>
    <sheetView showGridLines="0" zoomScale="94" zoomScaleNormal="130" workbookViewId="0">
      <pane ySplit="2" topLeftCell="A103" activePane="bottomLeft" state="frozen"/>
      <selection pane="bottomLeft" activeCell="K108" sqref="K108"/>
    </sheetView>
  </sheetViews>
  <sheetFormatPr baseColWidth="10" defaultColWidth="11" defaultRowHeight="16" x14ac:dyDescent="0.2"/>
  <cols>
    <col min="1" max="1" width="3" customWidth="1"/>
    <col min="2" max="2" width="34.83203125" customWidth="1"/>
    <col min="3" max="3" width="13.33203125" customWidth="1"/>
    <col min="4" max="5" width="10.83203125" customWidth="1"/>
    <col min="6" max="6" width="11.5" bestFit="1" customWidth="1"/>
    <col min="7" max="7" width="3" customWidth="1"/>
    <col min="8" max="8" width="34.83203125" customWidth="1"/>
    <col min="9" max="9" width="13.33203125" customWidth="1"/>
    <col min="10" max="10" width="10.83203125" customWidth="1"/>
    <col min="11" max="11" width="10.83203125" style="3" customWidth="1"/>
    <col min="12" max="12" width="10.83203125" customWidth="1"/>
    <col min="13" max="13" width="3" customWidth="1"/>
    <col min="14" max="14" width="32.83203125" customWidth="1"/>
    <col min="15" max="15" width="13.33203125" customWidth="1"/>
    <col min="16" max="16" width="12.6640625" customWidth="1"/>
    <col min="17" max="17" width="13.33203125" customWidth="1"/>
    <col min="18" max="18" width="10.83203125" customWidth="1"/>
    <col min="19" max="19" width="3" customWidth="1"/>
    <col min="20" max="20" width="32.83203125" customWidth="1"/>
    <col min="21" max="21" width="13.33203125" customWidth="1"/>
    <col min="22" max="22" width="12.6640625" customWidth="1"/>
    <col min="23" max="23" width="13.33203125" customWidth="1"/>
    <col min="24" max="24" width="10.83203125" customWidth="1"/>
    <col min="25" max="25" width="3" customWidth="1"/>
    <col min="26" max="26" width="32.83203125" customWidth="1"/>
    <col min="27" max="27" width="13.33203125" customWidth="1"/>
    <col min="28" max="28" width="12.6640625" customWidth="1"/>
    <col min="29" max="29" width="13.33203125" customWidth="1"/>
    <col min="30" max="30" width="10.83203125" customWidth="1"/>
    <col min="31" max="31" width="3" customWidth="1"/>
    <col min="32" max="32" width="32.83203125" customWidth="1"/>
    <col min="33" max="33" width="13.33203125" customWidth="1"/>
    <col min="34" max="34" width="12.6640625" customWidth="1"/>
    <col min="35" max="35" width="13.33203125" customWidth="1"/>
    <col min="37" max="37" width="3" customWidth="1"/>
    <col min="38" max="38" width="32.83203125" customWidth="1"/>
    <col min="39" max="39" width="13.33203125" customWidth="1"/>
    <col min="40" max="40" width="12.6640625" customWidth="1"/>
    <col min="41" max="41" width="13.33203125" customWidth="1"/>
    <col min="42" max="42" width="10.83203125" customWidth="1"/>
    <col min="43" max="43" width="3" customWidth="1"/>
    <col min="44" max="44" width="13.33203125" customWidth="1"/>
    <col min="49" max="49" width="10.83203125" customWidth="1"/>
    <col min="50" max="50" width="3" customWidth="1"/>
    <col min="51" max="52" width="28.83203125" customWidth="1"/>
    <col min="53" max="53" width="13.33203125" customWidth="1"/>
  </cols>
  <sheetData>
    <row r="1" spans="2:36" x14ac:dyDescent="0.2">
      <c r="D1" s="99"/>
      <c r="K1"/>
    </row>
    <row r="2" spans="2:36" ht="19" x14ac:dyDescent="0.25">
      <c r="B2" s="95" t="s">
        <v>748</v>
      </c>
      <c r="C2" s="100"/>
      <c r="D2" s="101"/>
      <c r="E2" s="100"/>
      <c r="F2" s="100"/>
      <c r="G2" s="100"/>
      <c r="H2" s="102"/>
      <c r="I2" s="100"/>
      <c r="J2" s="100"/>
      <c r="K2" s="102"/>
      <c r="L2" s="100"/>
      <c r="M2" s="100"/>
      <c r="N2" s="102"/>
      <c r="O2" s="100"/>
      <c r="P2" s="100"/>
      <c r="Q2" s="100"/>
      <c r="R2" s="100"/>
      <c r="S2" s="100"/>
      <c r="T2" s="100"/>
      <c r="U2" s="100"/>
      <c r="V2" s="100"/>
      <c r="W2" s="100"/>
      <c r="X2" s="100"/>
      <c r="Y2" s="100"/>
      <c r="Z2" s="100"/>
      <c r="AA2" s="100"/>
      <c r="AB2" s="100"/>
      <c r="AC2" s="100"/>
      <c r="AD2" s="100"/>
      <c r="AE2" s="100"/>
      <c r="AF2" s="100"/>
      <c r="AG2" s="100"/>
      <c r="AH2" s="100"/>
      <c r="AI2" s="100"/>
      <c r="AJ2" s="100"/>
    </row>
    <row r="3" spans="2:36" x14ac:dyDescent="0.2">
      <c r="C3" s="28"/>
      <c r="D3" s="103"/>
      <c r="H3" s="4"/>
      <c r="K3" s="4"/>
      <c r="N3" s="4"/>
    </row>
    <row r="4" spans="2:36" ht="19" x14ac:dyDescent="0.25">
      <c r="B4" s="283" t="s">
        <v>19</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row>
    <row r="5" spans="2:36" x14ac:dyDescent="0.2">
      <c r="C5" s="28"/>
      <c r="D5" s="103"/>
      <c r="H5" s="4"/>
      <c r="K5" s="4"/>
      <c r="N5" s="4"/>
    </row>
    <row r="6" spans="2:36" s="106" customFormat="1" ht="17" x14ac:dyDescent="0.2">
      <c r="B6" s="105" t="s">
        <v>949</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spans="2:36" x14ac:dyDescent="0.2">
      <c r="C7" s="28"/>
      <c r="D7" s="103"/>
      <c r="H7" s="4"/>
      <c r="K7" s="4"/>
      <c r="N7" s="4"/>
    </row>
    <row r="8" spans="2:36" x14ac:dyDescent="0.2">
      <c r="B8" s="87" t="s">
        <v>959</v>
      </c>
      <c r="C8" s="173"/>
      <c r="D8" s="427"/>
      <c r="E8" s="173"/>
      <c r="F8" s="173"/>
      <c r="G8" s="173"/>
      <c r="H8" s="428"/>
      <c r="I8" s="173"/>
      <c r="J8" s="173"/>
      <c r="K8" s="428"/>
      <c r="L8" s="173"/>
      <c r="M8" s="173"/>
      <c r="N8" s="428"/>
      <c r="O8" s="173"/>
      <c r="P8" s="173"/>
      <c r="Q8" s="173"/>
      <c r="R8" s="85"/>
    </row>
    <row r="9" spans="2:36" x14ac:dyDescent="0.2">
      <c r="B9" s="189"/>
      <c r="C9" s="171"/>
      <c r="D9" s="429"/>
      <c r="E9" s="171"/>
      <c r="F9" s="171"/>
      <c r="G9" s="171"/>
      <c r="H9" s="66"/>
      <c r="I9" s="171"/>
      <c r="J9" s="171"/>
      <c r="K9" s="66"/>
      <c r="L9" s="171"/>
      <c r="M9" s="171"/>
      <c r="N9" s="66"/>
      <c r="O9" s="171"/>
      <c r="P9" s="171"/>
      <c r="Q9" s="171"/>
      <c r="R9" s="80"/>
    </row>
    <row r="10" spans="2:36" x14ac:dyDescent="0.2">
      <c r="B10" s="420" t="s">
        <v>788</v>
      </c>
      <c r="C10" s="171"/>
      <c r="D10" s="429"/>
      <c r="E10" s="171"/>
      <c r="F10" s="171"/>
      <c r="G10" s="171"/>
      <c r="H10" s="66"/>
      <c r="I10" s="171"/>
      <c r="J10" s="171"/>
      <c r="K10" s="66"/>
      <c r="L10" s="171"/>
      <c r="M10" s="171"/>
      <c r="N10" s="66"/>
      <c r="O10" s="171"/>
      <c r="P10" s="171"/>
      <c r="Q10" s="171"/>
      <c r="R10" s="80"/>
    </row>
    <row r="11" spans="2:36" x14ac:dyDescent="0.2">
      <c r="B11" s="79"/>
      <c r="C11" s="171"/>
      <c r="D11" s="429"/>
      <c r="E11" s="171"/>
      <c r="F11" s="171"/>
      <c r="G11" s="171"/>
      <c r="H11" s="66"/>
      <c r="I11" s="171"/>
      <c r="J11" s="171"/>
      <c r="K11" s="66"/>
      <c r="L11" s="171"/>
      <c r="M11" s="171"/>
      <c r="N11" s="66"/>
      <c r="O11" s="171"/>
      <c r="P11" s="171"/>
      <c r="Q11" s="171"/>
      <c r="R11" s="80"/>
    </row>
    <row r="12" spans="2:36" x14ac:dyDescent="0.2">
      <c r="B12" s="109" t="s">
        <v>771</v>
      </c>
      <c r="C12" s="57" t="s">
        <v>772</v>
      </c>
      <c r="D12" s="432" t="s">
        <v>770</v>
      </c>
      <c r="E12" s="171"/>
      <c r="F12" s="171"/>
      <c r="G12" s="171"/>
      <c r="H12" s="66"/>
      <c r="I12" s="171"/>
      <c r="J12" s="171"/>
      <c r="K12" s="66"/>
      <c r="L12" s="171"/>
      <c r="M12" s="171"/>
      <c r="N12" s="66"/>
      <c r="O12" s="171"/>
      <c r="P12" s="171"/>
      <c r="Q12" s="171"/>
      <c r="R12" s="80"/>
    </row>
    <row r="13" spans="2:36" ht="32" customHeight="1" x14ac:dyDescent="0.2">
      <c r="B13" s="434" t="s">
        <v>567</v>
      </c>
      <c r="C13" s="435" t="s">
        <v>673</v>
      </c>
      <c r="D13" s="501" t="s">
        <v>789</v>
      </c>
      <c r="E13" s="501"/>
      <c r="F13" s="501"/>
      <c r="G13" s="501"/>
      <c r="H13" s="501"/>
      <c r="I13" s="501"/>
      <c r="J13" s="501"/>
      <c r="K13" s="501"/>
      <c r="L13" s="501"/>
      <c r="M13" s="501"/>
      <c r="N13" s="501"/>
      <c r="O13" s="501"/>
      <c r="P13" s="501"/>
      <c r="Q13" s="501"/>
      <c r="R13" s="502"/>
    </row>
    <row r="14" spans="2:36" x14ac:dyDescent="0.2">
      <c r="B14" s="79" t="s">
        <v>773</v>
      </c>
      <c r="C14" s="104" t="s">
        <v>774</v>
      </c>
      <c r="D14" s="433" t="s">
        <v>775</v>
      </c>
      <c r="E14" s="171"/>
      <c r="F14" s="171"/>
      <c r="G14" s="171"/>
      <c r="H14" s="66"/>
      <c r="I14" s="171"/>
      <c r="J14" s="171"/>
      <c r="K14" s="66"/>
      <c r="L14" s="171"/>
      <c r="M14" s="171"/>
      <c r="N14" s="66"/>
      <c r="O14" s="171"/>
      <c r="P14" s="171"/>
      <c r="Q14" s="171"/>
      <c r="R14" s="80"/>
    </row>
    <row r="15" spans="2:36" x14ac:dyDescent="0.2">
      <c r="B15" s="79"/>
      <c r="C15" s="104"/>
      <c r="D15" s="433" t="s">
        <v>776</v>
      </c>
      <c r="E15" s="171"/>
      <c r="F15" s="171"/>
      <c r="G15" s="171"/>
      <c r="H15" s="66"/>
      <c r="I15" s="171"/>
      <c r="J15" s="171"/>
      <c r="K15" s="66"/>
      <c r="L15" s="171"/>
      <c r="M15" s="171"/>
      <c r="N15" s="66"/>
      <c r="O15" s="171"/>
      <c r="P15" s="171"/>
      <c r="Q15" s="171"/>
      <c r="R15" s="80"/>
    </row>
    <row r="16" spans="2:36" ht="32" customHeight="1" x14ac:dyDescent="0.2">
      <c r="B16" s="436" t="s">
        <v>790</v>
      </c>
      <c r="C16" s="435" t="s">
        <v>824</v>
      </c>
      <c r="D16" s="499" t="s">
        <v>795</v>
      </c>
      <c r="E16" s="499"/>
      <c r="F16" s="499"/>
      <c r="G16" s="499"/>
      <c r="H16" s="499"/>
      <c r="I16" s="499"/>
      <c r="J16" s="499"/>
      <c r="K16" s="499"/>
      <c r="L16" s="499"/>
      <c r="M16" s="499"/>
      <c r="N16" s="499"/>
      <c r="O16" s="499"/>
      <c r="P16" s="499"/>
      <c r="Q16" s="499"/>
      <c r="R16" s="500"/>
    </row>
    <row r="17" spans="2:36" x14ac:dyDescent="0.2">
      <c r="B17" s="79" t="s">
        <v>778</v>
      </c>
      <c r="C17" s="104" t="s">
        <v>777</v>
      </c>
      <c r="D17" s="433" t="s">
        <v>801</v>
      </c>
      <c r="E17" s="171"/>
      <c r="F17" s="171"/>
      <c r="G17" s="171"/>
      <c r="H17" s="66"/>
      <c r="I17" s="171"/>
      <c r="J17" s="171"/>
      <c r="K17" s="66"/>
      <c r="L17" s="171"/>
      <c r="M17" s="171"/>
      <c r="N17" s="66"/>
      <c r="O17" s="171"/>
      <c r="P17" s="171"/>
      <c r="Q17" s="171"/>
      <c r="R17" s="80"/>
    </row>
    <row r="18" spans="2:36" x14ac:dyDescent="0.2">
      <c r="B18" s="79" t="s">
        <v>784</v>
      </c>
      <c r="C18" s="104" t="s">
        <v>785</v>
      </c>
      <c r="D18" s="433" t="s">
        <v>786</v>
      </c>
      <c r="E18" s="171"/>
      <c r="F18" s="171"/>
      <c r="G18" s="171"/>
      <c r="H18" s="66"/>
      <c r="I18" s="171"/>
      <c r="J18" s="171"/>
      <c r="K18" s="66"/>
      <c r="L18" s="171"/>
      <c r="M18" s="171"/>
      <c r="N18" s="66"/>
      <c r="O18" s="171"/>
      <c r="P18" s="171"/>
      <c r="Q18" s="171"/>
      <c r="R18" s="80"/>
    </row>
    <row r="19" spans="2:36" x14ac:dyDescent="0.2">
      <c r="B19" s="79" t="s">
        <v>804</v>
      </c>
      <c r="C19" s="104" t="s">
        <v>805</v>
      </c>
      <c r="D19" s="433" t="s">
        <v>806</v>
      </c>
      <c r="E19" s="171"/>
      <c r="F19" s="171"/>
      <c r="G19" s="171"/>
      <c r="H19" s="66"/>
      <c r="I19" s="171"/>
      <c r="J19" s="171"/>
      <c r="K19" s="66"/>
      <c r="L19" s="171"/>
      <c r="M19" s="171"/>
      <c r="N19" s="66"/>
      <c r="O19" s="171"/>
      <c r="P19" s="171"/>
      <c r="Q19" s="171"/>
      <c r="R19" s="80"/>
    </row>
    <row r="20" spans="2:36" ht="32" customHeight="1" x14ac:dyDescent="0.2">
      <c r="B20" s="436" t="s">
        <v>779</v>
      </c>
      <c r="C20" s="435" t="s">
        <v>781</v>
      </c>
      <c r="D20" s="499" t="s">
        <v>782</v>
      </c>
      <c r="E20" s="499"/>
      <c r="F20" s="499"/>
      <c r="G20" s="499"/>
      <c r="H20" s="499"/>
      <c r="I20" s="499"/>
      <c r="J20" s="499"/>
      <c r="K20" s="499"/>
      <c r="L20" s="499"/>
      <c r="M20" s="499"/>
      <c r="N20" s="499"/>
      <c r="O20" s="499"/>
      <c r="P20" s="499"/>
      <c r="Q20" s="499"/>
      <c r="R20" s="500"/>
    </row>
    <row r="21" spans="2:36" x14ac:dyDescent="0.2">
      <c r="B21" s="79" t="s">
        <v>780</v>
      </c>
      <c r="C21" s="104" t="s">
        <v>63</v>
      </c>
      <c r="D21" s="433" t="s">
        <v>783</v>
      </c>
      <c r="E21" s="171"/>
      <c r="F21" s="171"/>
      <c r="G21" s="171"/>
      <c r="H21" s="66"/>
      <c r="I21" s="171"/>
      <c r="J21" s="171"/>
      <c r="K21" s="66"/>
      <c r="L21" s="171"/>
      <c r="M21" s="171"/>
      <c r="N21" s="66"/>
      <c r="O21" s="171"/>
      <c r="P21" s="171"/>
      <c r="Q21" s="171"/>
      <c r="R21" s="80"/>
    </row>
    <row r="22" spans="2:36" ht="32" customHeight="1" x14ac:dyDescent="0.2">
      <c r="B22" s="436" t="s">
        <v>826</v>
      </c>
      <c r="C22" s="435" t="s">
        <v>827</v>
      </c>
      <c r="D22" s="499" t="s">
        <v>828</v>
      </c>
      <c r="E22" s="499"/>
      <c r="F22" s="499"/>
      <c r="G22" s="499"/>
      <c r="H22" s="499"/>
      <c r="I22" s="499"/>
      <c r="J22" s="499"/>
      <c r="K22" s="499"/>
      <c r="L22" s="499"/>
      <c r="M22" s="499"/>
      <c r="N22" s="499"/>
      <c r="O22" s="499"/>
      <c r="P22" s="499"/>
      <c r="Q22" s="499"/>
      <c r="R22" s="500"/>
    </row>
    <row r="23" spans="2:36" x14ac:dyDescent="0.2">
      <c r="B23" s="79" t="s">
        <v>808</v>
      </c>
      <c r="C23" s="104" t="s">
        <v>809</v>
      </c>
      <c r="D23" s="433" t="s">
        <v>810</v>
      </c>
      <c r="E23" s="171"/>
      <c r="F23" s="171"/>
      <c r="G23" s="171"/>
      <c r="H23" s="171"/>
      <c r="I23" s="171"/>
      <c r="J23" s="171"/>
      <c r="K23" s="56"/>
      <c r="L23" s="171"/>
      <c r="M23" s="171"/>
      <c r="N23" s="171"/>
      <c r="O23" s="171"/>
      <c r="P23" s="171"/>
      <c r="Q23" s="171"/>
      <c r="R23" s="80"/>
    </row>
    <row r="24" spans="2:36" ht="32" customHeight="1" x14ac:dyDescent="0.2">
      <c r="B24" s="436" t="s">
        <v>814</v>
      </c>
      <c r="C24" s="435" t="s">
        <v>815</v>
      </c>
      <c r="D24" s="499" t="s">
        <v>816</v>
      </c>
      <c r="E24" s="499"/>
      <c r="F24" s="499"/>
      <c r="G24" s="499"/>
      <c r="H24" s="499"/>
      <c r="I24" s="499"/>
      <c r="J24" s="499"/>
      <c r="K24" s="499"/>
      <c r="L24" s="499"/>
      <c r="M24" s="499"/>
      <c r="N24" s="499"/>
      <c r="O24" s="499"/>
      <c r="P24" s="499"/>
      <c r="Q24" s="499"/>
      <c r="R24" s="500"/>
    </row>
    <row r="25" spans="2:36" x14ac:dyDescent="0.2">
      <c r="B25" s="79" t="s">
        <v>2</v>
      </c>
      <c r="C25" s="104" t="s">
        <v>167</v>
      </c>
      <c r="D25" s="433" t="s">
        <v>817</v>
      </c>
      <c r="E25" s="171"/>
      <c r="F25" s="171"/>
      <c r="G25" s="171"/>
      <c r="H25" s="66"/>
      <c r="I25" s="171"/>
      <c r="J25" s="171"/>
      <c r="K25" s="66"/>
      <c r="L25" s="171"/>
      <c r="M25" s="171"/>
      <c r="N25" s="66"/>
      <c r="O25" s="171"/>
      <c r="P25" s="171"/>
      <c r="Q25" s="171"/>
      <c r="R25" s="80"/>
    </row>
    <row r="26" spans="2:36" ht="32" customHeight="1" x14ac:dyDescent="0.2">
      <c r="B26" s="436" t="s">
        <v>170</v>
      </c>
      <c r="C26" s="435" t="s">
        <v>818</v>
      </c>
      <c r="D26" s="499" t="s">
        <v>819</v>
      </c>
      <c r="E26" s="499"/>
      <c r="F26" s="499"/>
      <c r="G26" s="499"/>
      <c r="H26" s="499"/>
      <c r="I26" s="499"/>
      <c r="J26" s="499"/>
      <c r="K26" s="499"/>
      <c r="L26" s="499"/>
      <c r="M26" s="499"/>
      <c r="N26" s="499"/>
      <c r="O26" s="499"/>
      <c r="P26" s="499"/>
      <c r="Q26" s="499"/>
      <c r="R26" s="500"/>
    </row>
    <row r="27" spans="2:36" x14ac:dyDescent="0.2">
      <c r="B27" s="79" t="s">
        <v>811</v>
      </c>
      <c r="C27" s="104" t="s">
        <v>812</v>
      </c>
      <c r="D27" s="433" t="s">
        <v>813</v>
      </c>
      <c r="E27" s="171"/>
      <c r="F27" s="171"/>
      <c r="G27" s="171"/>
      <c r="H27" s="66"/>
      <c r="I27" s="171"/>
      <c r="J27" s="171"/>
      <c r="K27" s="66"/>
      <c r="L27" s="171"/>
      <c r="M27" s="171"/>
      <c r="N27" s="66"/>
      <c r="O27" s="171"/>
      <c r="P27" s="171"/>
      <c r="Q27" s="171"/>
      <c r="R27" s="80"/>
    </row>
    <row r="28" spans="2:36" ht="32" customHeight="1" x14ac:dyDescent="0.2">
      <c r="B28" s="436" t="s">
        <v>155</v>
      </c>
      <c r="C28" s="435" t="s">
        <v>787</v>
      </c>
      <c r="D28" s="499" t="s">
        <v>820</v>
      </c>
      <c r="E28" s="499"/>
      <c r="F28" s="499"/>
      <c r="G28" s="499"/>
      <c r="H28" s="499"/>
      <c r="I28" s="499"/>
      <c r="J28" s="499"/>
      <c r="K28" s="499"/>
      <c r="L28" s="499"/>
      <c r="M28" s="499"/>
      <c r="N28" s="499"/>
      <c r="O28" s="499"/>
      <c r="P28" s="499"/>
      <c r="Q28" s="499"/>
      <c r="R28" s="500"/>
    </row>
    <row r="29" spans="2:36" x14ac:dyDescent="0.2">
      <c r="B29" s="79" t="s">
        <v>822</v>
      </c>
      <c r="C29" s="104" t="s">
        <v>823</v>
      </c>
      <c r="D29" s="433" t="s">
        <v>825</v>
      </c>
      <c r="E29" s="171"/>
      <c r="F29" s="171"/>
      <c r="G29" s="171"/>
      <c r="H29" s="66"/>
      <c r="I29" s="171"/>
      <c r="J29" s="171"/>
      <c r="K29" s="66"/>
      <c r="L29" s="171"/>
      <c r="M29" s="171"/>
      <c r="N29" s="66"/>
      <c r="O29" s="171"/>
      <c r="P29" s="171"/>
      <c r="Q29" s="171"/>
      <c r="R29" s="80"/>
    </row>
    <row r="30" spans="2:36" x14ac:dyDescent="0.2">
      <c r="B30" s="81"/>
      <c r="C30" s="172"/>
      <c r="D30" s="430"/>
      <c r="E30" s="172"/>
      <c r="F30" s="172"/>
      <c r="G30" s="172"/>
      <c r="H30" s="431"/>
      <c r="I30" s="172"/>
      <c r="J30" s="172"/>
      <c r="K30" s="431"/>
      <c r="L30" s="172"/>
      <c r="M30" s="172"/>
      <c r="N30" s="431"/>
      <c r="O30" s="172"/>
      <c r="P30" s="172"/>
      <c r="Q30" s="172"/>
      <c r="R30" s="82"/>
    </row>
    <row r="31" spans="2:36" x14ac:dyDescent="0.2">
      <c r="C31" s="28"/>
      <c r="D31" s="103"/>
      <c r="H31" s="4"/>
      <c r="K31" s="4"/>
      <c r="N31" s="4"/>
    </row>
    <row r="32" spans="2:36" s="106" customFormat="1" ht="17" x14ac:dyDescent="0.2">
      <c r="B32" s="105" t="s">
        <v>0</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row>
    <row r="34" spans="2:20" x14ac:dyDescent="0.2">
      <c r="B34" s="87" t="s">
        <v>20</v>
      </c>
      <c r="C34" s="173"/>
      <c r="D34" s="173"/>
      <c r="E34" s="173"/>
      <c r="F34" s="85"/>
      <c r="H34" s="87" t="s">
        <v>581</v>
      </c>
      <c r="I34" s="173"/>
      <c r="J34" s="173"/>
      <c r="K34" s="124"/>
      <c r="L34" s="85"/>
      <c r="T34" s="28"/>
    </row>
    <row r="35" spans="2:20" x14ac:dyDescent="0.2">
      <c r="B35" s="79"/>
      <c r="C35" s="171"/>
      <c r="D35" s="171"/>
      <c r="E35" s="171"/>
      <c r="F35" s="80"/>
      <c r="H35" s="125"/>
      <c r="I35" s="171"/>
      <c r="J35" s="171"/>
      <c r="K35" s="56"/>
      <c r="L35" s="80"/>
      <c r="T35" s="28"/>
    </row>
    <row r="36" spans="2:20" ht="17" thickBot="1" x14ac:dyDescent="0.25">
      <c r="B36" s="109" t="s">
        <v>21</v>
      </c>
      <c r="C36" s="171"/>
      <c r="D36" s="171"/>
      <c r="E36" s="171"/>
      <c r="F36" s="80"/>
      <c r="H36" s="109" t="s">
        <v>23</v>
      </c>
      <c r="I36" s="171"/>
      <c r="J36" s="171"/>
      <c r="K36" s="171"/>
      <c r="L36" s="80"/>
    </row>
    <row r="37" spans="2:20" ht="18" thickTop="1" thickBot="1" x14ac:dyDescent="0.25">
      <c r="B37" s="89" t="s">
        <v>792</v>
      </c>
      <c r="C37" s="171"/>
      <c r="D37" s="171"/>
      <c r="E37" s="171"/>
      <c r="F37" s="80"/>
      <c r="H37" s="79" t="s">
        <v>27</v>
      </c>
      <c r="I37" s="171"/>
      <c r="J37" s="171" t="s">
        <v>28</v>
      </c>
      <c r="K37" s="171"/>
      <c r="L37" s="80"/>
    </row>
    <row r="38" spans="2:20" ht="18" thickTop="1" thickBot="1" x14ac:dyDescent="0.25">
      <c r="B38" s="79"/>
      <c r="C38" s="171"/>
      <c r="D38" s="171"/>
      <c r="E38" s="171"/>
      <c r="F38" s="80"/>
      <c r="H38" s="89" t="s">
        <v>31</v>
      </c>
      <c r="I38" s="171"/>
      <c r="J38" s="62">
        <v>60</v>
      </c>
      <c r="K38" s="171" t="s">
        <v>32</v>
      </c>
      <c r="L38" s="80"/>
    </row>
    <row r="39" spans="2:20" ht="17" thickTop="1" x14ac:dyDescent="0.2">
      <c r="B39" s="109" t="s">
        <v>24</v>
      </c>
      <c r="C39" s="90" t="s">
        <v>25</v>
      </c>
      <c r="D39" s="92" t="s">
        <v>26</v>
      </c>
      <c r="E39" s="171"/>
      <c r="F39" s="80"/>
      <c r="H39" s="79"/>
      <c r="I39" s="90" t="s">
        <v>25</v>
      </c>
      <c r="J39" s="92" t="s">
        <v>26</v>
      </c>
      <c r="K39" s="171"/>
      <c r="L39" s="80"/>
    </row>
    <row r="40" spans="2:20" x14ac:dyDescent="0.2">
      <c r="B40" s="357" t="s">
        <v>29</v>
      </c>
      <c r="C40" s="55">
        <f>_xlfn.XLOOKUP(B37,'DATA - Variabelen &amp; waarden'!B6:B20,'DATA - Variabelen &amp; waarden'!E6:E20)</f>
        <v>50</v>
      </c>
      <c r="D40" s="62"/>
      <c r="E40" s="171">
        <f>IF(ISBLANK(D40),C40,D40)</f>
        <v>50</v>
      </c>
      <c r="F40" s="80" t="s">
        <v>30</v>
      </c>
      <c r="H40" s="187" t="s">
        <v>37</v>
      </c>
      <c r="I40" s="313" cm="1">
        <f t="array" ref="I40">(_xlfn.XLOOKUP($H$38,CO2Calculation[[#All],[CO2 emissie per hectare - formules]],CO2Calculation[[#All],[Richtingscoëfficiënt]])*($J$38/100))+_xlfn.XLOOKUP($H$38,CO2Calculation[[#All],[CO2 emissie per hectare - formules]],CO2Calculation[[#All],[Start]])</f>
        <v>4.8580000000000005</v>
      </c>
      <c r="J40" s="62"/>
      <c r="K40" s="315">
        <f>IF(I40&lt;=0,0,IF(ISBLANK(J40),I40,J40))</f>
        <v>4.8580000000000005</v>
      </c>
      <c r="L40" s="80" t="s">
        <v>36</v>
      </c>
    </row>
    <row r="41" spans="2:20" ht="19" x14ac:dyDescent="0.35">
      <c r="B41" s="79" t="s">
        <v>33</v>
      </c>
      <c r="C41" s="171"/>
      <c r="D41" s="62">
        <v>50</v>
      </c>
      <c r="E41" s="171">
        <f>D41</f>
        <v>50</v>
      </c>
      <c r="F41" s="80" t="s">
        <v>34</v>
      </c>
      <c r="H41" s="187" t="s">
        <v>40</v>
      </c>
      <c r="I41" s="313" cm="1">
        <f t="array" ref="I41">(_xlfn.XLOOKUP(H38,NO2Calculation[[#All],[NO2 emissie per hectare - formules]],NO2Calculation[[#All],[Richtingscoëfficiënt]])*((J38/100)^2))+(_xlfn.XLOOKUP(H38,NO2Calculation[[#All],[NO2 emissie per hectare - formules]],NO2Calculation[[#All],[Verschuiving]])*(J38/100))+_xlfn.XLOOKUP(H38,NO2Calculation[[#All],[NO2 emissie per hectare - formules]],NO2Calculation[[#All],[Start]])</f>
        <v>1.4548000000000003</v>
      </c>
      <c r="J41" s="62"/>
      <c r="K41" s="317">
        <f>IF(I41&lt;=0,0,IF(ISBLANK(J41),I41,J41))</f>
        <v>1.4548000000000003</v>
      </c>
      <c r="L41" s="80" t="s">
        <v>36</v>
      </c>
    </row>
    <row r="42" spans="2:20" x14ac:dyDescent="0.2">
      <c r="B42" s="79"/>
      <c r="C42" s="171"/>
      <c r="D42" s="171"/>
      <c r="E42" s="171"/>
      <c r="F42" s="80"/>
      <c r="H42" s="79"/>
      <c r="I42" s="171"/>
      <c r="J42" s="316" t="s">
        <v>42</v>
      </c>
      <c r="K42" s="315">
        <f>SUM(K40:K41)</f>
        <v>6.3128000000000011</v>
      </c>
      <c r="L42" s="80" t="s">
        <v>36</v>
      </c>
      <c r="M42" s="28"/>
    </row>
    <row r="43" spans="2:20" ht="17" thickBot="1" x14ac:dyDescent="0.25">
      <c r="B43" s="109" t="s">
        <v>567</v>
      </c>
      <c r="C43" s="171"/>
      <c r="D43" s="171"/>
      <c r="E43" s="171"/>
      <c r="F43" s="80"/>
      <c r="H43" s="109" t="s">
        <v>43</v>
      </c>
      <c r="I43" s="171"/>
      <c r="J43" s="171"/>
      <c r="K43" s="171"/>
      <c r="L43" s="80"/>
      <c r="M43" s="28"/>
    </row>
    <row r="44" spans="2:20" ht="18" thickTop="1" thickBot="1" x14ac:dyDescent="0.25">
      <c r="B44" s="79" t="s">
        <v>198</v>
      </c>
      <c r="C44" s="69" t="s">
        <v>673</v>
      </c>
      <c r="D44" s="171"/>
      <c r="E44" s="339">
        <f>IF(C44="Berekend",K51,E50)</f>
        <v>15</v>
      </c>
      <c r="F44" s="80" t="s">
        <v>36</v>
      </c>
      <c r="H44" s="79" t="s">
        <v>27</v>
      </c>
      <c r="I44" s="171"/>
      <c r="J44" s="171" t="s">
        <v>28</v>
      </c>
      <c r="K44" s="171"/>
      <c r="L44" s="80"/>
      <c r="M44" s="28"/>
    </row>
    <row r="45" spans="2:20" ht="18" thickTop="1" thickBot="1" x14ac:dyDescent="0.25">
      <c r="B45" s="79" t="s">
        <v>576</v>
      </c>
      <c r="C45" s="171"/>
      <c r="D45" s="171"/>
      <c r="E45" s="339">
        <f>E44*E40</f>
        <v>750</v>
      </c>
      <c r="F45" s="80" t="s">
        <v>41</v>
      </c>
      <c r="H45" s="89" t="s">
        <v>31</v>
      </c>
      <c r="I45" s="171"/>
      <c r="J45" s="62">
        <v>-3</v>
      </c>
      <c r="K45" s="171" t="s">
        <v>32</v>
      </c>
      <c r="L45" s="80"/>
      <c r="M45" s="28"/>
    </row>
    <row r="46" spans="2:20" ht="17" thickTop="1" x14ac:dyDescent="0.2">
      <c r="B46" s="79"/>
      <c r="C46" s="171"/>
      <c r="D46" s="171"/>
      <c r="E46" s="171"/>
      <c r="F46" s="80"/>
      <c r="H46" s="79"/>
      <c r="I46" s="90" t="s">
        <v>25</v>
      </c>
      <c r="J46" s="92" t="s">
        <v>26</v>
      </c>
      <c r="K46" s="171"/>
      <c r="L46" s="80"/>
      <c r="M46" s="28"/>
    </row>
    <row r="47" spans="2:20" x14ac:dyDescent="0.2">
      <c r="B47" s="359" t="s">
        <v>568</v>
      </c>
      <c r="C47" s="336" t="s">
        <v>25</v>
      </c>
      <c r="D47" s="337" t="s">
        <v>26</v>
      </c>
      <c r="E47" s="341"/>
      <c r="F47" s="342"/>
      <c r="H47" s="187" t="s">
        <v>37</v>
      </c>
      <c r="I47" s="313" cm="1">
        <f t="array" ref="I47">(_xlfn.XLOOKUP($H$45,CO2Calculation[[#All],[CO2 emissie per hectare - formules]],CO2Calculation[[#All],[Richtingscoëfficiënt]])*($J$45/100))+_xlfn.XLOOKUP($H$45,CO2Calculation[[#All],[CO2 emissie per hectare - formules]],CO2Calculation[[#All],[Start]])</f>
        <v>2.4451000000000001</v>
      </c>
      <c r="J47" s="62"/>
      <c r="K47" s="315">
        <f>IF(I47&lt;=0,0,IF(ISBLANK(J47),I47,J47))</f>
        <v>2.4451000000000001</v>
      </c>
      <c r="L47" s="80" t="s">
        <v>36</v>
      </c>
      <c r="M47" s="28"/>
    </row>
    <row r="48" spans="2:20" ht="19" x14ac:dyDescent="0.35">
      <c r="B48" s="340" t="s">
        <v>35</v>
      </c>
      <c r="C48" s="55">
        <f>_xlfn.XLOOKUP($B$37,'DATA - Variabelen &amp; waarden'!B22:B36,'DATA - Variabelen &amp; waarden'!E22:E36,"Selecteer Regio")</f>
        <v>30</v>
      </c>
      <c r="D48" s="62"/>
      <c r="E48" s="339">
        <f>IF(ISBLANK(D48),C48,D48)</f>
        <v>30</v>
      </c>
      <c r="F48" s="342" t="s">
        <v>36</v>
      </c>
      <c r="H48" s="187" t="s">
        <v>40</v>
      </c>
      <c r="I48" s="313" cm="1">
        <f t="array" ref="I48">(_xlfn.XLOOKUP(H45,NO2Calculation[[#All],[NO2 emissie per hectare - formules]],NO2Calculation[[#All],[Richtingscoëfficiënt]])*((J45/100)^2))+(_xlfn.XLOOKUP(H45,NO2Calculation[[#All],[NO2 emissie per hectare - formules]],NO2Calculation[[#All],[Verschuiving]])*(J45/100))+_xlfn.XLOOKUP(H45,NO2Calculation[[#All],[NO2 emissie per hectare - formules]],NO2Calculation[[#All],[Start]])</f>
        <v>0.21773200000000004</v>
      </c>
      <c r="J48" s="62"/>
      <c r="K48" s="317">
        <f>IF(I48&lt;=0,0,IF(ISBLANK(J48),I48,J48))</f>
        <v>0.21773200000000004</v>
      </c>
      <c r="L48" s="80" t="s">
        <v>36</v>
      </c>
      <c r="M48" s="28"/>
    </row>
    <row r="49" spans="2:36" x14ac:dyDescent="0.2">
      <c r="B49" s="415" t="s">
        <v>38</v>
      </c>
      <c r="C49" s="55">
        <f>_xlfn.XLOOKUP(B37,'DATA - Variabelen &amp; waarden'!B22:B36,'DATA - Variabelen &amp; waarden'!F22:F36,"Selecteer Regio")</f>
        <v>15</v>
      </c>
      <c r="D49" s="62"/>
      <c r="E49" s="339">
        <f>IF(ISBLANK(D49),C49,D49)</f>
        <v>15</v>
      </c>
      <c r="F49" s="342" t="s">
        <v>36</v>
      </c>
      <c r="H49" s="79"/>
      <c r="I49" s="171"/>
      <c r="J49" s="316" t="s">
        <v>42</v>
      </c>
      <c r="K49" s="315">
        <f>SUM(K47:K48)</f>
        <v>2.6628319999999999</v>
      </c>
      <c r="L49" s="80" t="s">
        <v>36</v>
      </c>
      <c r="M49" s="28"/>
    </row>
    <row r="50" spans="2:36" x14ac:dyDescent="0.2">
      <c r="B50" s="79" t="s">
        <v>39</v>
      </c>
      <c r="C50" s="341"/>
      <c r="D50" s="341"/>
      <c r="E50" s="339">
        <f>E48-E49</f>
        <v>15</v>
      </c>
      <c r="F50" s="342" t="s">
        <v>36</v>
      </c>
      <c r="H50" s="79"/>
      <c r="I50" s="171"/>
      <c r="J50" s="171"/>
      <c r="K50" s="56"/>
      <c r="L50" s="80"/>
      <c r="M50" s="28"/>
      <c r="W50" s="3"/>
    </row>
    <row r="51" spans="2:36" x14ac:dyDescent="0.2">
      <c r="B51" s="340"/>
      <c r="C51" s="341"/>
      <c r="D51" s="338"/>
      <c r="E51" s="267"/>
      <c r="F51" s="80"/>
      <c r="H51" s="79" t="s">
        <v>39</v>
      </c>
      <c r="I51" s="171"/>
      <c r="J51" s="318"/>
      <c r="K51" s="68">
        <f>K42-K49</f>
        <v>3.6499680000000012</v>
      </c>
      <c r="L51" s="80" t="s">
        <v>36</v>
      </c>
      <c r="M51" s="28"/>
      <c r="W51" s="3"/>
    </row>
    <row r="52" spans="2:36" x14ac:dyDescent="0.2">
      <c r="B52" s="81"/>
      <c r="C52" s="172"/>
      <c r="D52" s="172"/>
      <c r="E52" s="172"/>
      <c r="F52" s="82"/>
      <c r="H52" s="81"/>
      <c r="I52" s="172"/>
      <c r="J52" s="172"/>
      <c r="K52" s="193"/>
      <c r="L52" s="82"/>
      <c r="T52" s="28"/>
      <c r="W52" s="3"/>
    </row>
    <row r="53" spans="2:36" s="28" customFormat="1" x14ac:dyDescent="0.2">
      <c r="B53" s="38"/>
      <c r="C53" s="38"/>
      <c r="D53" s="38"/>
      <c r="E53" s="38"/>
      <c r="F53" s="38"/>
      <c r="K53" s="175"/>
    </row>
    <row r="54" spans="2:36" s="106" customFormat="1" ht="17" x14ac:dyDescent="0.2">
      <c r="B54" s="105" t="s">
        <v>3</v>
      </c>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row>
    <row r="56" spans="2:36" x14ac:dyDescent="0.2">
      <c r="B56" s="58" t="s">
        <v>797</v>
      </c>
      <c r="C56" s="150"/>
      <c r="D56" s="150"/>
      <c r="E56" s="150"/>
      <c r="F56" s="59"/>
      <c r="H56" s="87" t="s">
        <v>44</v>
      </c>
      <c r="I56" s="173"/>
      <c r="J56" s="173"/>
      <c r="K56" s="183"/>
      <c r="L56" s="85"/>
      <c r="N56" s="87" t="s">
        <v>45</v>
      </c>
      <c r="O56" s="173"/>
      <c r="P56" s="173"/>
      <c r="Q56" s="173"/>
      <c r="R56" s="85"/>
    </row>
    <row r="57" spans="2:36" x14ac:dyDescent="0.2">
      <c r="B57" s="79"/>
      <c r="C57" s="171"/>
      <c r="D57" s="171"/>
      <c r="E57" s="171"/>
      <c r="F57" s="80"/>
      <c r="H57" s="125"/>
      <c r="I57" s="171"/>
      <c r="J57" s="171"/>
      <c r="K57" s="104"/>
      <c r="L57" s="80"/>
      <c r="N57" s="125"/>
      <c r="O57" s="171"/>
      <c r="P57" s="171"/>
      <c r="Q57" s="171"/>
      <c r="R57" s="80"/>
    </row>
    <row r="58" spans="2:36" ht="17" thickBot="1" x14ac:dyDescent="0.25">
      <c r="B58" s="416" t="s">
        <v>796</v>
      </c>
      <c r="C58" s="503" t="s">
        <v>46</v>
      </c>
      <c r="D58" s="503"/>
      <c r="E58" s="503" t="s">
        <v>47</v>
      </c>
      <c r="F58" s="505"/>
      <c r="H58" s="343" t="s">
        <v>1</v>
      </c>
      <c r="I58" s="90" t="s">
        <v>25</v>
      </c>
      <c r="J58" s="92" t="s">
        <v>26</v>
      </c>
      <c r="K58" s="56"/>
      <c r="L58" s="80"/>
      <c r="N58" s="343" t="str" cm="1">
        <f t="array" ref="N58:N74">CultCost01[[#All],[Gewasverzorging]]</f>
        <v>Gewasverzorging</v>
      </c>
      <c r="O58" s="90" t="s">
        <v>25</v>
      </c>
      <c r="P58" s="92" t="s">
        <v>26</v>
      </c>
      <c r="Q58" s="65">
        <f>SUM(Q59:Q63,Q66,Q71,Q74)</f>
        <v>520</v>
      </c>
      <c r="R58" s="184" t="s">
        <v>48</v>
      </c>
    </row>
    <row r="59" spans="2:36" ht="18" thickTop="1" thickBot="1" x14ac:dyDescent="0.25">
      <c r="B59" s="60" t="str">
        <f>H58</f>
        <v>Jaarlijks grondgebruik</v>
      </c>
      <c r="C59" s="55">
        <f>K59</f>
        <v>714</v>
      </c>
      <c r="D59" s="171" t="s">
        <v>48</v>
      </c>
      <c r="E59" s="55">
        <f t="shared" ref="E59:E64" si="0">C59*$E$40</f>
        <v>35700</v>
      </c>
      <c r="F59" s="61" t="s">
        <v>49</v>
      </c>
      <c r="H59" s="89" t="s">
        <v>50</v>
      </c>
      <c r="I59" s="56">
        <f>IF(H59=H61,K62,SUM(K70,K71))</f>
        <v>714</v>
      </c>
      <c r="J59" s="213"/>
      <c r="K59" s="54">
        <f>IF(ISBLANK(J59),I59,J59)</f>
        <v>714</v>
      </c>
      <c r="L59" s="184" t="s">
        <v>48</v>
      </c>
      <c r="N59" s="189" t="str">
        <v>Meststoffen</v>
      </c>
      <c r="O59" s="69" t="s">
        <v>63</v>
      </c>
      <c r="P59" s="62"/>
      <c r="Q59" s="176" cm="1">
        <f t="array" ref="Q59">IF(ISBLANK(P59),INDEX(CultCost01[[#All],[Geen]:[Waarde MIN]],_xlfn.XMATCH('SCENARIO 1 - Gemiddeld'!N59,CultCost01[[#All],[Gewasverzorging]]),_xlfn.XMATCH('SCENARIO 1 - Gemiddeld'!O59,CultCost01[[#Headers],[Geen]:[Waarde MIN]])),P59)</f>
        <v>0</v>
      </c>
      <c r="R59" s="190" t="s">
        <v>48</v>
      </c>
    </row>
    <row r="60" spans="2:36" ht="18" thickTop="1" thickBot="1" x14ac:dyDescent="0.25">
      <c r="B60" s="60" t="str">
        <f>N58</f>
        <v>Gewasverzorging</v>
      </c>
      <c r="C60" s="55">
        <f>Q58</f>
        <v>520</v>
      </c>
      <c r="D60" s="171" t="s">
        <v>48</v>
      </c>
      <c r="E60" s="55">
        <f t="shared" si="0"/>
        <v>26000</v>
      </c>
      <c r="F60" s="61" t="s">
        <v>49</v>
      </c>
      <c r="H60" s="79"/>
      <c r="I60" s="171"/>
      <c r="J60" s="171"/>
      <c r="K60" s="56"/>
      <c r="L60" s="80"/>
      <c r="N60" s="189" t="str">
        <v>Gewasbeschermingsmiddelen</v>
      </c>
      <c r="O60" s="69" t="s">
        <v>63</v>
      </c>
      <c r="P60" s="62"/>
      <c r="Q60" s="176" cm="1">
        <f t="array" ref="Q60">IF(ISBLANK(P60),INDEX(CultCost01[[#All],[Geen]:[Waarde MIN]],_xlfn.XMATCH('SCENARIO 1 - Gemiddeld'!N60,CultCost01[[#All],[Gewasverzorging]]),_xlfn.XMATCH('SCENARIO 1 - Gemiddeld'!O60,CultCost01[[#Headers],[Geen]:[Waarde MIN]])),P60)</f>
        <v>0</v>
      </c>
      <c r="R60" s="190" t="s">
        <v>48</v>
      </c>
    </row>
    <row r="61" spans="2:36" ht="18" thickTop="1" thickBot="1" x14ac:dyDescent="0.25">
      <c r="B61" s="60" t="str">
        <f>N76</f>
        <v>Energieverbruik en water</v>
      </c>
      <c r="C61" s="55">
        <f>Q76</f>
        <v>100</v>
      </c>
      <c r="D61" s="171" t="s">
        <v>48</v>
      </c>
      <c r="E61" s="55">
        <f t="shared" si="0"/>
        <v>5000</v>
      </c>
      <c r="F61" s="61" t="s">
        <v>49</v>
      </c>
      <c r="H61" s="251" t="str">
        <f>'DATA - Variabelen &amp; waarden'!B54</f>
        <v xml:space="preserve">Pacht </v>
      </c>
      <c r="I61" s="171"/>
      <c r="J61" s="171"/>
      <c r="K61" s="56"/>
      <c r="L61" s="80"/>
      <c r="N61" s="187" t="str">
        <v>Ongediertebestrijding - uren</v>
      </c>
      <c r="O61" s="69" t="s">
        <v>54</v>
      </c>
      <c r="P61" s="62"/>
      <c r="Q61" s="360" cm="1">
        <f t="array" ref="Q61">IF(ISBLANK(P61),INDEX(CultCost01[[#All],[Geen]:[Waarde MIN]],_xlfn.XMATCH('SCENARIO 1 - Gemiddeld'!N61,CultCost01[[#All],[Gewasverzorging]]),_xlfn.XMATCH('SCENARIO 1 - Gemiddeld'!O61,CultCost01[[#Headers],[Geen]:[Waarde MIN]])),P61)</f>
        <v>5</v>
      </c>
      <c r="R61" s="191" t="s">
        <v>55</v>
      </c>
    </row>
    <row r="62" spans="2:36" ht="18" thickTop="1" thickBot="1" x14ac:dyDescent="0.25">
      <c r="B62" s="60" t="str">
        <f>N81</f>
        <v>Belastingen en verzekeringen</v>
      </c>
      <c r="C62" s="55">
        <f>Q81</f>
        <v>148.4</v>
      </c>
      <c r="D62" s="171" t="s">
        <v>48</v>
      </c>
      <c r="E62" s="55">
        <f t="shared" si="0"/>
        <v>7420</v>
      </c>
      <c r="F62" s="61" t="s">
        <v>49</v>
      </c>
      <c r="H62" s="79" t="str">
        <f>B37</f>
        <v xml:space="preserve">Hollands/Utrechts weidegebied </v>
      </c>
      <c r="I62" s="171"/>
      <c r="J62" s="62"/>
      <c r="K62" s="176" cm="1">
        <f t="array" ref="K62">IF(ISBLANK(J62),_xlfn.XLOOKUP(H62,PachtPrijs[[#All],[Pachtprijs - per regio]],PachtPrijs[[#All],[Regionorm 2020]],"Selecteer gebied"),J62)</f>
        <v>714</v>
      </c>
      <c r="L62" s="190" t="s">
        <v>48</v>
      </c>
      <c r="N62" s="187" t="str">
        <v>Ongediertebestrijding - tarief</v>
      </c>
      <c r="O62" s="69" t="s">
        <v>54</v>
      </c>
      <c r="P62" s="62"/>
      <c r="Q62" s="188" cm="1">
        <f t="array" ref="Q62">IF(ISBLANK(P62),INDEX(CultCost01[[#All],[Geen]:[Waarde MIN]],_xlfn.XMATCH('SCENARIO 1 - Gemiddeld'!N62,CultCost01[[#All],[Gewasverzorging]]),_xlfn.XMATCH('SCENARIO 1 - Gemiddeld'!O62,CultCost01[[#Headers],[Geen]:[Waarde MIN]])),P62)</f>
        <v>25</v>
      </c>
      <c r="R62" s="191" t="s">
        <v>57</v>
      </c>
    </row>
    <row r="63" spans="2:36" ht="18" thickTop="1" thickBot="1" x14ac:dyDescent="0.25">
      <c r="B63" s="60" t="str">
        <f>N85</f>
        <v>Onderhoud</v>
      </c>
      <c r="C63" s="55">
        <f>Q85</f>
        <v>367.5</v>
      </c>
      <c r="D63" s="171" t="s">
        <v>48</v>
      </c>
      <c r="E63" s="55">
        <f t="shared" si="0"/>
        <v>18375</v>
      </c>
      <c r="F63" s="61" t="s">
        <v>49</v>
      </c>
      <c r="H63" s="79"/>
      <c r="I63" s="171"/>
      <c r="J63" s="171"/>
      <c r="K63" s="176"/>
      <c r="L63" s="190"/>
      <c r="N63" s="189" t="str">
        <v>Ongediertebestrijding</v>
      </c>
      <c r="O63" s="55">
        <f>Q61*Q62</f>
        <v>125</v>
      </c>
      <c r="P63" s="62"/>
      <c r="Q63" s="176">
        <f>IF(ISBLANK(P63),O63,P63)</f>
        <v>125</v>
      </c>
      <c r="R63" s="190" t="s">
        <v>48</v>
      </c>
    </row>
    <row r="64" spans="2:36" ht="18" thickTop="1" thickBot="1" x14ac:dyDescent="0.25">
      <c r="B64" s="63" t="str">
        <f>N94</f>
        <v>Afschrijving &amp; aflossing teeltinvesteringen</v>
      </c>
      <c r="C64" s="53">
        <f>Q94</f>
        <v>1606.8642108067806</v>
      </c>
      <c r="D64" s="115" t="s">
        <v>48</v>
      </c>
      <c r="E64" s="53">
        <f t="shared" si="0"/>
        <v>80343.210540339031</v>
      </c>
      <c r="F64" s="64" t="s">
        <v>49</v>
      </c>
      <c r="H64" s="260" t="s">
        <v>56</v>
      </c>
      <c r="I64" s="171"/>
      <c r="J64" s="171"/>
      <c r="K64" s="182"/>
      <c r="L64" s="185"/>
      <c r="N64" s="187" t="str">
        <v>Dijkbeheer &amp; slootonderhoud - uren</v>
      </c>
      <c r="O64" s="69" t="s">
        <v>54</v>
      </c>
      <c r="P64" s="62"/>
      <c r="Q64" s="360" cm="1">
        <f t="array" ref="Q64">IF(ISBLANK(P64),INDEX(CultCost01[[#All],[Geen]:[Waarde MIN]],_xlfn.XMATCH('SCENARIO 1 - Gemiddeld'!N64,CultCost01[[#All],[Gewasverzorging]]),_xlfn.XMATCH('SCENARIO 1 - Gemiddeld'!O64,CultCost01[[#Headers],[Geen]:[Waarde MIN]])),P64)</f>
        <v>2.2000000000000002</v>
      </c>
      <c r="R64" s="191" t="s">
        <v>55</v>
      </c>
    </row>
    <row r="65" spans="2:22" ht="18" thickTop="1" thickBot="1" x14ac:dyDescent="0.25">
      <c r="B65" s="416" t="s">
        <v>47</v>
      </c>
      <c r="C65" s="65">
        <f>SUM(C59:C64)</f>
        <v>3456.7642108067807</v>
      </c>
      <c r="D65" s="57" t="s">
        <v>48</v>
      </c>
      <c r="E65" s="65">
        <f>SUM(E59:E64)</f>
        <v>172838.21054033903</v>
      </c>
      <c r="F65" s="417" t="s">
        <v>49</v>
      </c>
      <c r="H65" s="187" t="str">
        <f>'DATA - Variabelen &amp; waarden'!B56</f>
        <v xml:space="preserve">Grondprijs </v>
      </c>
      <c r="I65" s="69" t="s">
        <v>54</v>
      </c>
      <c r="J65" s="62"/>
      <c r="K65" s="178" cm="1">
        <f t="array" ref="K65">IF(ISBLANK(J65),INDEX(LandUse01[[#All],[Geen]:[Waarde MIN]],_xlfn.XMATCH(H65,LandUse01[[#All],[Grondgebruik ]]),_xlfn.XMATCH('SCENARIO 1 - Gemiddeld'!I65,LandUse01[[#Headers],[Geen]:[Waarde MIN]])),J65)</f>
        <v>60900</v>
      </c>
      <c r="L65" s="185" t="s">
        <v>48</v>
      </c>
      <c r="N65" s="187" t="str">
        <v>Dijkbeheer &amp; slootonderhoud - tarief</v>
      </c>
      <c r="O65" s="69" t="s">
        <v>54</v>
      </c>
      <c r="P65" s="62"/>
      <c r="Q65" s="188" cm="1">
        <f t="array" ref="Q65">IF(ISBLANK(P65),INDEX(CultCost01[[#All],[Geen]:[Waarde MIN]],_xlfn.XMATCH('SCENARIO 1 - Gemiddeld'!N65,CultCost01[[#All],[Gewasverzorging]]),_xlfn.XMATCH('SCENARIO 1 - Gemiddeld'!O65,CultCost01[[#Headers],[Geen]:[Waarde MIN]])),P65)</f>
        <v>25</v>
      </c>
      <c r="R65" s="191" t="s">
        <v>57</v>
      </c>
    </row>
    <row r="66" spans="2:22" ht="18" thickTop="1" thickBot="1" x14ac:dyDescent="0.25">
      <c r="B66" s="79"/>
      <c r="C66" s="171"/>
      <c r="D66" s="171"/>
      <c r="E66" s="171"/>
      <c r="F66" s="80"/>
      <c r="H66" s="187" t="str">
        <f>'DATA - Variabelen &amp; waarden'!B57</f>
        <v>Rente lening</v>
      </c>
      <c r="I66" s="69" t="s">
        <v>54</v>
      </c>
      <c r="J66" s="62"/>
      <c r="K66" s="290" cm="1">
        <f t="array" ref="K66">IF(ISBLANK(J66),INDEX(LandUse01[[#All],[Geen]:[Waarde MIN]],_xlfn.XMATCH('SCENARIO 1 - Gemiddeld'!H66,LandUse01[[#All],[Grondgebruik ]]),_xlfn.XMATCH('SCENARIO 1 - Gemiddeld'!I66,LandUse01[[#Headers],[Geen]:[Waarde MIN]])),J66)</f>
        <v>0.02</v>
      </c>
      <c r="L66" s="185" t="s">
        <v>58</v>
      </c>
      <c r="N66" s="189" t="str">
        <v>Dijkbeheer &amp; slootonderhoud</v>
      </c>
      <c r="O66" s="55">
        <f>Q64*Q65</f>
        <v>55.000000000000007</v>
      </c>
      <c r="P66" s="62"/>
      <c r="Q66" s="176">
        <f>IF(ISBLANK(P66),O66,P66)</f>
        <v>55.000000000000007</v>
      </c>
      <c r="R66" s="190" t="s">
        <v>48</v>
      </c>
    </row>
    <row r="67" spans="2:22" ht="18" thickTop="1" thickBot="1" x14ac:dyDescent="0.25">
      <c r="B67" s="416" t="s">
        <v>798</v>
      </c>
      <c r="C67" s="503" t="s">
        <v>46</v>
      </c>
      <c r="D67" s="503"/>
      <c r="E67" s="503" t="s">
        <v>47</v>
      </c>
      <c r="F67" s="505"/>
      <c r="H67" s="187" t="str">
        <f>'DATA - Variabelen &amp; waarden'!B58</f>
        <v xml:space="preserve">Aflossingstermijn </v>
      </c>
      <c r="I67" s="69" t="s">
        <v>52</v>
      </c>
      <c r="J67" s="62"/>
      <c r="K67" s="178" cm="1">
        <f t="array" ref="K67">IF(ISBLANK(J67),INDEX(LandUse01[[#All],[Geen]:[Waarde MIN]],_xlfn.XMATCH('SCENARIO 1 - Gemiddeld'!H67,LandUse01[[#All],[Grondgebruik ]]),_xlfn.XMATCH('SCENARIO 1 - Gemiddeld'!I67,LandUse01[[#Headers],[Geen]:[Waarde MIN]])),J67)</f>
        <v>30</v>
      </c>
      <c r="L67" s="185" t="s">
        <v>59</v>
      </c>
      <c r="N67" s="187" t="str">
        <v>Gewasverzorging - uren medewerker</v>
      </c>
      <c r="O67" s="69" t="s">
        <v>54</v>
      </c>
      <c r="P67" s="62"/>
      <c r="Q67" s="178" cm="1">
        <f t="array" ref="Q67">IF(ISBLANK(P67),INDEX(CultCost01[[#All],[Geen]:[Waarde MIN]],_xlfn.XMATCH('SCENARIO 1 - Gemiddeld'!N67,CultCost01[[#All],[Gewasverzorging]]),_xlfn.XMATCH('SCENARIO 1 - Gemiddeld'!O67,CultCost01[[#Headers],[Geen]:[Waarde MIN]])),P67)</f>
        <v>10</v>
      </c>
      <c r="R67" s="185" t="s">
        <v>55</v>
      </c>
    </row>
    <row r="68" spans="2:22" ht="18" thickTop="1" thickBot="1" x14ac:dyDescent="0.25">
      <c r="B68" s="79" t="s">
        <v>799</v>
      </c>
      <c r="C68" s="55">
        <f>K73</f>
        <v>8300</v>
      </c>
      <c r="D68" s="171" t="s">
        <v>48</v>
      </c>
      <c r="E68" s="55">
        <f t="shared" ref="E68:E69" si="1">C68*$E$40</f>
        <v>415000</v>
      </c>
      <c r="F68" s="61" t="s">
        <v>49</v>
      </c>
      <c r="H68" s="187" t="str">
        <f>'DATA - Variabelen &amp; waarden'!B59</f>
        <v>Restwaarde grond - %</v>
      </c>
      <c r="I68" s="69" t="s">
        <v>54</v>
      </c>
      <c r="J68" s="62"/>
      <c r="K68" s="214" cm="1">
        <f t="array" ref="K68">IF(ISBLANK(J68),INDEX(LandUse01[[#All],[Geen]:[Waarde MIN]],_xlfn.XMATCH('SCENARIO 1 - Gemiddeld'!H68,LandUse01[[#All],[Grondgebruik ]]),_xlfn.XMATCH('SCENARIO 1 - Gemiddeld'!I68,LandUse01[[#Headers],[Geen]:[Waarde MIN]])),J68)</f>
        <v>0.65</v>
      </c>
      <c r="L68" s="185" t="s">
        <v>58</v>
      </c>
      <c r="N68" s="187" t="str">
        <v>Medewerker - tarief per uur</v>
      </c>
      <c r="O68" s="69" t="s">
        <v>54</v>
      </c>
      <c r="P68" s="62"/>
      <c r="Q68" s="178" cm="1">
        <f t="array" ref="Q68">IF(ISBLANK(P68),INDEX(CultCost01[[#All],[Geen]:[Waarde MIN]],_xlfn.XMATCH('SCENARIO 1 - Gemiddeld'!N68,CultCost01[[#All],[Gewasverzorging]]),_xlfn.XMATCH('SCENARIO 1 - Gemiddeld'!O68,CultCost01[[#Headers],[Geen]:[Waarde MIN]])),P68)</f>
        <v>25</v>
      </c>
      <c r="R68" s="185" t="s">
        <v>57</v>
      </c>
    </row>
    <row r="69" spans="2:22" ht="18" thickTop="1" thickBot="1" x14ac:dyDescent="0.25">
      <c r="B69" s="114" t="s">
        <v>800</v>
      </c>
      <c r="C69" s="418">
        <f>K92</f>
        <v>7265</v>
      </c>
      <c r="D69" s="115" t="s">
        <v>48</v>
      </c>
      <c r="E69" s="418">
        <f t="shared" si="1"/>
        <v>363250</v>
      </c>
      <c r="F69" s="419" t="s">
        <v>49</v>
      </c>
      <c r="H69" s="187" t="s">
        <v>60</v>
      </c>
      <c r="I69" s="197">
        <f>K65*K68</f>
        <v>39585</v>
      </c>
      <c r="J69" s="62"/>
      <c r="K69" s="178">
        <f>IF(ISBLANK(J69),I69,J69)</f>
        <v>39585</v>
      </c>
      <c r="L69" s="185" t="s">
        <v>48</v>
      </c>
      <c r="N69" s="187" t="str">
        <v xml:space="preserve">Gewasverzorging - uren management </v>
      </c>
      <c r="O69" s="69" t="s">
        <v>54</v>
      </c>
      <c r="P69" s="62"/>
      <c r="Q69" s="178" cm="1">
        <f t="array" ref="Q69">IF(ISBLANK(P69),INDEX(CultCost01[[#All],[Geen]:[Waarde MIN]],_xlfn.XMATCH('SCENARIO 1 - Gemiddeld'!N69,CultCost01[[#All],[Gewasverzorging]]),_xlfn.XMATCH('SCENARIO 1 - Gemiddeld'!O69,CultCost01[[#Headers],[Geen]:[Waarde MIN]])),P69)</f>
        <v>1</v>
      </c>
      <c r="R69" s="185" t="s">
        <v>55</v>
      </c>
    </row>
    <row r="70" spans="2:22" ht="18" thickTop="1" thickBot="1" x14ac:dyDescent="0.25">
      <c r="B70" s="424" t="s">
        <v>47</v>
      </c>
      <c r="C70" s="249">
        <f>SUM(C68:C69)</f>
        <v>15565</v>
      </c>
      <c r="D70" s="119" t="s">
        <v>48</v>
      </c>
      <c r="E70" s="249">
        <f>SUM(E68:E69)</f>
        <v>778250</v>
      </c>
      <c r="F70" s="425" t="s">
        <v>49</v>
      </c>
      <c r="H70" s="189" t="s">
        <v>61</v>
      </c>
      <c r="I70" s="176">
        <f>-PMT(K66,K67,K65)</f>
        <v>2719.18026766824</v>
      </c>
      <c r="J70" s="62"/>
      <c r="K70" s="176">
        <f>IF(ISBLANK(J70),I70,J70)</f>
        <v>2719.18026766824</v>
      </c>
      <c r="L70" s="190" t="s">
        <v>48</v>
      </c>
      <c r="N70" s="187" t="str">
        <v>Manager - tarief per uur</v>
      </c>
      <c r="O70" s="69" t="s">
        <v>54</v>
      </c>
      <c r="P70" s="62"/>
      <c r="Q70" s="178" cm="1">
        <f t="array" ref="Q70">IF(ISBLANK(P70),INDEX(CultCost01[[#All],[Geen]:[Waarde MIN]],_xlfn.XMATCH('SCENARIO 1 - Gemiddeld'!N70,CultCost01[[#All],[Gewasverzorging]]),_xlfn.XMATCH('SCENARIO 1 - Gemiddeld'!O70,CultCost01[[#Headers],[Geen]:[Waarde MIN]])),P70)</f>
        <v>60</v>
      </c>
      <c r="R70" s="185" t="s">
        <v>57</v>
      </c>
    </row>
    <row r="71" spans="2:22" ht="18" thickTop="1" thickBot="1" x14ac:dyDescent="0.25">
      <c r="H71" s="189" t="s">
        <v>62</v>
      </c>
      <c r="I71" s="176">
        <f>(K65-K69)/K67</f>
        <v>710.5</v>
      </c>
      <c r="J71" s="62"/>
      <c r="K71" s="176">
        <f>IF(ISBLANK(J71),I71,J71)</f>
        <v>710.5</v>
      </c>
      <c r="L71" s="190" t="s">
        <v>48</v>
      </c>
      <c r="N71" s="189" t="str">
        <v>Gewasverzorging - eigen arbeidsuren</v>
      </c>
      <c r="O71" s="55">
        <f>SUM(Q67*Q68,Q69*Q70)</f>
        <v>310</v>
      </c>
      <c r="P71" s="62"/>
      <c r="Q71" s="176">
        <f>IF(ISBLANK(P71),O71,P71)</f>
        <v>310</v>
      </c>
      <c r="R71" s="190" t="s">
        <v>48</v>
      </c>
      <c r="V71" s="28"/>
    </row>
    <row r="72" spans="2:22" ht="18" thickTop="1" thickBot="1" x14ac:dyDescent="0.25">
      <c r="H72" s="79"/>
      <c r="I72" s="171"/>
      <c r="J72" s="171"/>
      <c r="K72" s="56"/>
      <c r="L72" s="80"/>
      <c r="N72" s="187" t="str">
        <v>Gewasverzorging - uren inhuur derden</v>
      </c>
      <c r="O72" s="69" t="s">
        <v>63</v>
      </c>
      <c r="P72" s="62"/>
      <c r="Q72" s="178" cm="1">
        <f t="array" ref="Q72">IF(ISBLANK(P72),INDEX(CultCost01[[#All],[Geen]:[Waarde MIN]],_xlfn.XMATCH('SCENARIO 1 - Gemiddeld'!N72,CultCost01[[#All],[Gewasverzorging]]),_xlfn.XMATCH('SCENARIO 1 - Gemiddeld'!O72,CultCost01[[#Headers],[Geen]:[Waarde MIN]])),P72)</f>
        <v>0</v>
      </c>
      <c r="R72" s="185" t="s">
        <v>55</v>
      </c>
    </row>
    <row r="73" spans="2:22" ht="18" thickTop="1" thickBot="1" x14ac:dyDescent="0.25">
      <c r="H73" s="109" t="s">
        <v>64</v>
      </c>
      <c r="I73" s="90" t="s">
        <v>25</v>
      </c>
      <c r="J73" s="92" t="s">
        <v>26</v>
      </c>
      <c r="K73" s="65">
        <f>SUM(K76,K79,K82,K85,K86,K87,K88,K89,K90)</f>
        <v>8300</v>
      </c>
      <c r="L73" s="184" t="s">
        <v>48</v>
      </c>
      <c r="N73" s="187" t="str">
        <v>Gewasverzorging - tarief inhuur derden</v>
      </c>
      <c r="O73" s="69" t="s">
        <v>63</v>
      </c>
      <c r="P73" s="62"/>
      <c r="Q73" s="178" cm="1">
        <f t="array" ref="Q73">IF(ISBLANK(P73),INDEX(CultCost01[[#All],[Geen]:[Waarde MIN]],_xlfn.XMATCH('SCENARIO 1 - Gemiddeld'!N73,CultCost01[[#All],[Gewasverzorging]]),_xlfn.XMATCH('SCENARIO 1 - Gemiddeld'!O73,CultCost01[[#Headers],[Geen]:[Waarde MIN]])),P73)</f>
        <v>0</v>
      </c>
      <c r="R73" s="185" t="s">
        <v>57</v>
      </c>
    </row>
    <row r="74" spans="2:22" ht="18" thickTop="1" thickBot="1" x14ac:dyDescent="0.25">
      <c r="H74" s="187" t="str" cm="1">
        <f t="array" ref="H74:H90">CultInvest01[Teelt - Investeringen perceel]</f>
        <v>Grondverzet - uren per hectare</v>
      </c>
      <c r="I74" s="69" t="s">
        <v>54</v>
      </c>
      <c r="J74" s="62"/>
      <c r="K74" s="178" cm="1">
        <f t="array" ref="K74">IF(ISBLANK(J74),INDEX(CultInvest01[[#All],[Geen]:[Waarde MIN]],_xlfn.XMATCH('SCENARIO 1 - Gemiddeld'!H74,CultInvest01[[#All],[Teelt - Investeringen perceel]]),_xlfn.XMATCH('SCENARIO 1 - Gemiddeld'!I74,CultInvest01[[#Headers],[Geen]:[Waarde MIN]])),J74)</f>
        <v>40</v>
      </c>
      <c r="L74" s="179" t="s">
        <v>55</v>
      </c>
      <c r="N74" s="189" t="str">
        <v>Gewasverzorging - inhuur derden</v>
      </c>
      <c r="O74" s="171">
        <f>Q72*Q73</f>
        <v>0</v>
      </c>
      <c r="P74" s="62"/>
      <c r="Q74" s="176">
        <f>IF(ISBLANK(P74),O74,P74)</f>
        <v>0</v>
      </c>
      <c r="R74" s="190" t="s">
        <v>48</v>
      </c>
    </row>
    <row r="75" spans="2:22" ht="18" thickTop="1" thickBot="1" x14ac:dyDescent="0.25">
      <c r="H75" s="187" t="str">
        <v>Grondverzet - prijs per uur</v>
      </c>
      <c r="I75" s="69" t="s">
        <v>54</v>
      </c>
      <c r="J75" s="62"/>
      <c r="K75" s="178" cm="1">
        <f t="array" ref="K75">IF(ISBLANK(J75),INDEX(CultInvest01[[#All],[Geen]:[Waarde MIN]],_xlfn.XMATCH('SCENARIO 1 - Gemiddeld'!H75,CultInvest01[[#All],[Teelt - Investeringen perceel]]),_xlfn.XMATCH('SCENARIO 1 - Gemiddeld'!I75,CultInvest01[[#Headers],[Geen]:[Waarde MIN]])),J75)</f>
        <v>95</v>
      </c>
      <c r="L75" s="179" t="s">
        <v>57</v>
      </c>
      <c r="N75" s="79"/>
      <c r="O75" s="171"/>
      <c r="P75" s="171"/>
      <c r="Q75" s="171"/>
      <c r="R75" s="80"/>
    </row>
    <row r="76" spans="2:22" ht="18" thickTop="1" thickBot="1" x14ac:dyDescent="0.25">
      <c r="H76" s="189" t="str">
        <v>Grondverzet - totaal</v>
      </c>
      <c r="I76" s="55">
        <f>K74*K75</f>
        <v>3800</v>
      </c>
      <c r="J76" s="62"/>
      <c r="K76" s="176">
        <f>IF(ISBLANK(J76),I76,J76)</f>
        <v>3800</v>
      </c>
      <c r="L76" s="190" t="s">
        <v>48</v>
      </c>
      <c r="N76" s="109" t="str" cm="1">
        <f t="array" ref="N76:N79">CultCost02[[#All],[Energieverbruik en water]]</f>
        <v>Energieverbruik en water</v>
      </c>
      <c r="O76" s="90" t="s">
        <v>25</v>
      </c>
      <c r="P76" s="92" t="s">
        <v>26</v>
      </c>
      <c r="Q76" s="65">
        <f>SUM(Q77:Q79)</f>
        <v>100</v>
      </c>
      <c r="R76" s="184" t="s">
        <v>48</v>
      </c>
    </row>
    <row r="77" spans="2:22" ht="18" thickTop="1" thickBot="1" x14ac:dyDescent="0.25">
      <c r="H77" s="187" t="str">
        <v>Grondtoevoer - kuub per hectare</v>
      </c>
      <c r="I77" s="69" t="s">
        <v>54</v>
      </c>
      <c r="J77" s="62"/>
      <c r="K77" s="178" cm="1">
        <f t="array" ref="K77">IF(ISBLANK(J77),INDEX(CultInvest01[[#All],[Geen]:[Waarde MIN]],_xlfn.XMATCH('SCENARIO 1 - Gemiddeld'!H77,CultInvest01[[#All],[Teelt - Investeringen perceel]]),_xlfn.XMATCH('SCENARIO 1 - Gemiddeld'!I77,CultInvest01[[#Headers],[Geen]:[Waarde MIN]])),J77)</f>
        <v>400</v>
      </c>
      <c r="L77" s="185" t="s">
        <v>65</v>
      </c>
      <c r="N77" s="189" t="str">
        <v>Elektraverbruik irrigatie en peilbeheer</v>
      </c>
      <c r="O77" s="69" t="s">
        <v>54</v>
      </c>
      <c r="P77" s="62"/>
      <c r="Q77" s="176" cm="1">
        <f t="array" ref="Q77">IF(ISBLANK(P77),INDEX(CultCost02[[#All],[Geen]:[Waarde MIN]],_xlfn.XMATCH('SCENARIO 1 - Gemiddeld'!N77,CultCost02[[#All],[Energieverbruik en water]]),_xlfn.XMATCH('SCENARIO 1 - Gemiddeld'!O77,CultCost02[[#Headers],[Geen]:[Waarde MIN]])),P77)</f>
        <v>25</v>
      </c>
      <c r="R77" s="190" t="s">
        <v>48</v>
      </c>
    </row>
    <row r="78" spans="2:22" ht="18" thickTop="1" thickBot="1" x14ac:dyDescent="0.25">
      <c r="H78" s="187" t="str">
        <v>Grondtoevoer - prijs per kuub</v>
      </c>
      <c r="I78" s="69" t="s">
        <v>54</v>
      </c>
      <c r="J78" s="62"/>
      <c r="K78" s="178" cm="1">
        <f t="array" ref="K78">IF(ISBLANK(J78),INDEX(CultInvest01[[#All],[Geen]:[Waarde MIN]],_xlfn.XMATCH('SCENARIO 1 - Gemiddeld'!H78,CultInvest01[[#All],[Teelt - Investeringen perceel]]),_xlfn.XMATCH('SCENARIO 1 - Gemiddeld'!I78,CultInvest01[[#Headers],[Geen]:[Waarde MIN]])),J78)</f>
        <v>3</v>
      </c>
      <c r="L78" s="185" t="s">
        <v>66</v>
      </c>
      <c r="N78" s="189" t="str">
        <v xml:space="preserve">Elektraverbruik overig </v>
      </c>
      <c r="O78" s="69" t="s">
        <v>54</v>
      </c>
      <c r="P78" s="62"/>
      <c r="Q78" s="176" cm="1">
        <f t="array" ref="Q78">IF(ISBLANK(P78),INDEX(CultCost02[[#All],[Geen]:[Waarde MIN]],_xlfn.XMATCH('SCENARIO 1 - Gemiddeld'!N78,CultCost02[[#All],[Energieverbruik en water]]),_xlfn.XMATCH('SCENARIO 1 - Gemiddeld'!O78,CultCost02[[#Headers],[Geen]:[Waarde MIN]])),P78)</f>
        <v>25</v>
      </c>
      <c r="R78" s="190" t="s">
        <v>48</v>
      </c>
    </row>
    <row r="79" spans="2:22" ht="18" thickTop="1" thickBot="1" x14ac:dyDescent="0.25">
      <c r="H79" s="189" t="str">
        <v>Grondtoevoer - totaal</v>
      </c>
      <c r="I79" s="55">
        <f>K77*K78</f>
        <v>1200</v>
      </c>
      <c r="J79" s="62"/>
      <c r="K79" s="176">
        <f>IF(ISBLANK(J79),I79,J79)</f>
        <v>1200</v>
      </c>
      <c r="L79" s="190" t="s">
        <v>48</v>
      </c>
      <c r="N79" s="189" t="str">
        <v>Heffingen waterverbruik</v>
      </c>
      <c r="O79" s="69" t="s">
        <v>54</v>
      </c>
      <c r="P79" s="62"/>
      <c r="Q79" s="176" cm="1">
        <f t="array" ref="Q79">IF(ISBLANK(P79),INDEX(CultCost02[[#All],[Geen]:[Waarde MIN]],_xlfn.XMATCH('SCENARIO 1 - Gemiddeld'!N79,CultCost02[[#All],[Energieverbruik en water]]),_xlfn.XMATCH('SCENARIO 1 - Gemiddeld'!O79,CultCost02[[#Headers],[Geen]:[Waarde MIN]])),P79)</f>
        <v>50</v>
      </c>
      <c r="R79" s="190" t="s">
        <v>48</v>
      </c>
    </row>
    <row r="80" spans="2:22" ht="18" thickTop="1" thickBot="1" x14ac:dyDescent="0.25">
      <c r="H80" s="187" t="str">
        <v>Watertoevoer - meter leiding per hectare</v>
      </c>
      <c r="I80" s="69" t="s">
        <v>54</v>
      </c>
      <c r="J80" s="62"/>
      <c r="K80" s="178" cm="1">
        <f t="array" ref="K80">IF(ISBLANK(J80),INDEX(CultInvest01[[#All],[Geen]:[Waarde MIN]],_xlfn.XMATCH('SCENARIO 1 - Gemiddeld'!H80,CultInvest01[[#All],[Teelt - Investeringen perceel]]),_xlfn.XMATCH('SCENARIO 1 - Gemiddeld'!I80,CultInvest01[[#Headers],[Geen]:[Waarde MIN]])),J80)</f>
        <v>10</v>
      </c>
      <c r="L80" s="185" t="s">
        <v>888</v>
      </c>
      <c r="N80" s="79"/>
      <c r="O80" s="171"/>
      <c r="P80" s="171"/>
      <c r="Q80" s="171"/>
      <c r="R80" s="80"/>
    </row>
    <row r="81" spans="8:18" ht="18" thickTop="1" thickBot="1" x14ac:dyDescent="0.25">
      <c r="H81" s="187" t="str">
        <v>Watertoevoer - prijs per meter leiding</v>
      </c>
      <c r="I81" s="69" t="s">
        <v>54</v>
      </c>
      <c r="J81" s="62"/>
      <c r="K81" s="178" cm="1">
        <f t="array" ref="K81">IF(ISBLANK(J81),INDEX(CultInvest01[[#All],[Geen]:[Waarde MIN]],_xlfn.XMATCH('SCENARIO 1 - Gemiddeld'!H81,CultInvest01[[#All],[Teelt - Investeringen perceel]]),_xlfn.XMATCH('SCENARIO 1 - Gemiddeld'!I81,CultInvest01[[#Headers],[Geen]:[Waarde MIN]])),J81)</f>
        <v>10</v>
      </c>
      <c r="L81" s="185" t="s">
        <v>889</v>
      </c>
      <c r="N81" s="109" t="str" cm="1">
        <f t="array" ref="N81:N83">CultCost03[[#All],[Belastingen en verzekeringen]]</f>
        <v>Belastingen en verzekeringen</v>
      </c>
      <c r="O81" s="90" t="s">
        <v>25</v>
      </c>
      <c r="P81" s="92" t="s">
        <v>26</v>
      </c>
      <c r="Q81" s="123">
        <f>SUM(Q82:Q83)</f>
        <v>148.4</v>
      </c>
      <c r="R81" s="184" t="s">
        <v>48</v>
      </c>
    </row>
    <row r="82" spans="8:18" ht="18" thickTop="1" thickBot="1" x14ac:dyDescent="0.25">
      <c r="H82" s="207" t="str">
        <v>Watertoevoer - totaal</v>
      </c>
      <c r="I82" s="55">
        <f>K80*K81</f>
        <v>100</v>
      </c>
      <c r="J82" s="62"/>
      <c r="K82" s="176">
        <f>IF(ISBLANK(J82),I82,J82)</f>
        <v>100</v>
      </c>
      <c r="L82" s="190" t="s">
        <v>48</v>
      </c>
      <c r="N82" s="189" t="str">
        <v>Waterschapsbelasting</v>
      </c>
      <c r="O82" s="69" t="s">
        <v>54</v>
      </c>
      <c r="P82" s="62"/>
      <c r="Q82" s="194" cm="1">
        <f t="array" ref="Q82">IF(ISBLANK(P82),INDEX(CultCost03[[#All],[Geen]:[Waarde MIN]],_xlfn.XMATCH('SCENARIO 1 - Gemiddeld'!N82,CultCost03[[#All],[Belastingen en verzekeringen]]),_xlfn.XMATCH('SCENARIO 1 - Gemiddeld'!O82,CultCost03[[#Headers],[Geen]:[Waarde MIN]])),P82)</f>
        <v>73.400000000000006</v>
      </c>
      <c r="R82" s="190" t="s">
        <v>48</v>
      </c>
    </row>
    <row r="83" spans="8:18" ht="18" thickTop="1" thickBot="1" x14ac:dyDescent="0.25">
      <c r="H83" s="187" t="str">
        <v>Waterafvoer - meter leiding per hectare</v>
      </c>
      <c r="I83" s="69" t="s">
        <v>54</v>
      </c>
      <c r="J83" s="62"/>
      <c r="K83" s="178" cm="1">
        <f t="array" ref="K83">IF(ISBLANK(J83),INDEX(CultInvest01[[#All],[Geen]:[Waarde MIN]],_xlfn.XMATCH('SCENARIO 1 - Gemiddeld'!H83,CultInvest01[[#All],[Teelt - Investeringen perceel]]),_xlfn.XMATCH('SCENARIO 1 - Gemiddeld'!I83,CultInvest01[[#Headers],[Geen]:[Waarde MIN]])),J83)</f>
        <v>10</v>
      </c>
      <c r="L83" s="185" t="s">
        <v>888</v>
      </c>
      <c r="N83" s="189" t="str">
        <v>Verzekeringen</v>
      </c>
      <c r="O83" s="69" t="s">
        <v>54</v>
      </c>
      <c r="P83" s="62"/>
      <c r="Q83" s="195" cm="1">
        <f t="array" ref="Q83">IF(ISBLANK(P83),INDEX(CultCost03[[#All],[Geen]:[Waarde MIN]],_xlfn.XMATCH('SCENARIO 1 - Gemiddeld'!N83,CultCost03[[#All],[Belastingen en verzekeringen]]),_xlfn.XMATCH('SCENARIO 1 - Gemiddeld'!O83,CultCost03[[#Headers],[Geen]:[Waarde MIN]])),P83)</f>
        <v>75</v>
      </c>
      <c r="R83" s="190" t="s">
        <v>48</v>
      </c>
    </row>
    <row r="84" spans="8:18" ht="18" thickTop="1" thickBot="1" x14ac:dyDescent="0.25">
      <c r="H84" s="187" t="str">
        <v>Waterafvoer - prijs per meter leiding</v>
      </c>
      <c r="I84" s="69" t="s">
        <v>54</v>
      </c>
      <c r="J84" s="62"/>
      <c r="K84" s="178" cm="1">
        <f t="array" ref="K84">IF(ISBLANK(J84),INDEX(CultInvest01[[#All],[Geen]:[Waarde MIN]],_xlfn.XMATCH('SCENARIO 1 - Gemiddeld'!H84,CultInvest01[[#All],[Teelt - Investeringen perceel]]),_xlfn.XMATCH('SCENARIO 1 - Gemiddeld'!I84,CultInvest01[[#Headers],[Geen]:[Waarde MIN]])),J84)</f>
        <v>10</v>
      </c>
      <c r="L84" s="185" t="s">
        <v>889</v>
      </c>
      <c r="N84" s="79"/>
      <c r="O84" s="171"/>
      <c r="P84" s="171"/>
      <c r="Q84" s="171"/>
      <c r="R84" s="80"/>
    </row>
    <row r="85" spans="8:18" ht="18" thickTop="1" thickBot="1" x14ac:dyDescent="0.25">
      <c r="H85" s="189" t="str">
        <v>Waterafvoer - totaal</v>
      </c>
      <c r="I85" s="55">
        <f>K83*K84</f>
        <v>100</v>
      </c>
      <c r="J85" s="62"/>
      <c r="K85" s="176">
        <f>IF(ISBLANK(J85),I85,J85)</f>
        <v>100</v>
      </c>
      <c r="L85" s="190" t="s">
        <v>48</v>
      </c>
      <c r="N85" s="109" t="str" cm="1">
        <f t="array" ref="N85:N92">CultCost04[[#All],[Onderhoud]]</f>
        <v>Onderhoud</v>
      </c>
      <c r="O85" s="90" t="s">
        <v>25</v>
      </c>
      <c r="P85" s="92" t="s">
        <v>26</v>
      </c>
      <c r="Q85" s="65">
        <f>SUM(Q86:Q92)</f>
        <v>367.5</v>
      </c>
      <c r="R85" s="184" t="s">
        <v>48</v>
      </c>
    </row>
    <row r="86" spans="8:18" ht="18" thickTop="1" thickBot="1" x14ac:dyDescent="0.25">
      <c r="H86" s="189" t="str">
        <v>Pompen - aanschaf incl. stroomvoorziening</v>
      </c>
      <c r="I86" s="69" t="s">
        <v>54</v>
      </c>
      <c r="J86" s="62"/>
      <c r="K86" s="176" cm="1">
        <f t="array" ref="K86">IF(ISBLANK(J86),INDEX(CultInvest01[[#All],[Geen]:[Waarde MIN]],_xlfn.XMATCH('SCENARIO 1 - Gemiddeld'!H86,CultInvest01[[#All],[Teelt - Investeringen perceel]]),_xlfn.XMATCH('SCENARIO 1 - Gemiddeld'!I86,CultInvest01[[#Headers],[Geen]:[Waarde MIN]])),J86)</f>
        <v>1700</v>
      </c>
      <c r="L86" s="190" t="s">
        <v>48</v>
      </c>
      <c r="N86" s="79" t="str">
        <v>Grondverzet - totaal</v>
      </c>
      <c r="O86" s="69" t="s">
        <v>54</v>
      </c>
      <c r="P86" s="62"/>
      <c r="Q86" s="56" cm="1">
        <f t="array" ref="Q86">IF(ISBLANK(P86),(SUM(K76,K79)*INDEX(CultCost04[[#All],[Geen]:[Waarde MIN]],_xlfn.XMATCH('SCENARIO 1 - Gemiddeld'!N86,CultCost04[[#All],[Onderhoud]]),_xlfn.XMATCH('SCENARIO 1 - Gemiddeld'!O86,CultCost04[[#Headers],[Geen]:[Waarde MIN]]))),P86)</f>
        <v>125</v>
      </c>
      <c r="R86" s="80" t="s">
        <v>48</v>
      </c>
    </row>
    <row r="87" spans="8:18" ht="18" thickTop="1" thickBot="1" x14ac:dyDescent="0.25">
      <c r="H87" s="189" t="str">
        <v>Waterpeilbeheersing (schuiven, slibkisten, etc.)</v>
      </c>
      <c r="I87" s="69" t="s">
        <v>54</v>
      </c>
      <c r="J87" s="62"/>
      <c r="K87" s="176" cm="1">
        <f t="array" ref="K87">IF(ISBLANK(J87),INDEX(CultInvest01[[#All],[Geen]:[Waarde MIN]],_xlfn.XMATCH('SCENARIO 1 - Gemiddeld'!H87,CultInvest01[[#All],[Teelt - Investeringen perceel]]),_xlfn.XMATCH('SCENARIO 1 - Gemiddeld'!I87,CultInvest01[[#Headers],[Geen]:[Waarde MIN]])),J87)</f>
        <v>500</v>
      </c>
      <c r="L87" s="190" t="s">
        <v>48</v>
      </c>
      <c r="N87" s="79" t="str">
        <v>Watertoevoer - totaal</v>
      </c>
      <c r="O87" s="69" t="s">
        <v>54</v>
      </c>
      <c r="P87" s="62"/>
      <c r="Q87" s="55" cm="1">
        <f t="array" ref="Q87">IF(ISBLANK(P87),(K82*INDEX(CultCost04[[#All],[Geen]:[Waarde MIN]],_xlfn.XMATCH('SCENARIO 1 - Gemiddeld'!N87,CultCost04[[#All],[Onderhoud]]),_xlfn.XMATCH('SCENARIO 1 - Gemiddeld'!O87,CultCost04[[#Headers],[Geen]:[Waarde MIN]]))),P87)</f>
        <v>5</v>
      </c>
      <c r="R87" s="80" t="s">
        <v>48</v>
      </c>
    </row>
    <row r="88" spans="8:18" s="28" customFormat="1" ht="18" thickTop="1" thickBot="1" x14ac:dyDescent="0.25">
      <c r="H88" s="79" t="str">
        <v>Afrastering &amp; vraatbescherming</v>
      </c>
      <c r="I88" s="69" t="s">
        <v>54</v>
      </c>
      <c r="J88" s="62"/>
      <c r="K88" s="176" cm="1">
        <f t="array" ref="K88">IF(ISBLANK(J88),INDEX(CultInvest01[[#All],[Geen]:[Waarde MIN]],_xlfn.XMATCH('SCENARIO 1 - Gemiddeld'!H88,CultInvest01[[#All],[Teelt - Investeringen perceel]]),_xlfn.XMATCH('SCENARIO 1 - Gemiddeld'!I88,CultInvest01[[#Headers],[Geen]:[Waarde MIN]])),J88)</f>
        <v>500</v>
      </c>
      <c r="L88" s="190" t="s">
        <v>48</v>
      </c>
      <c r="N88" s="79" t="str">
        <v>Waterafvoer - totaal</v>
      </c>
      <c r="O88" s="69" t="s">
        <v>54</v>
      </c>
      <c r="P88" s="62"/>
      <c r="Q88" s="55" cm="1">
        <f t="array" ref="Q88">IF(ISBLANK(P88),(K85*INDEX(CultCost04[[#All],[Geen]:[Waarde MIN]],_xlfn.XMATCH('SCENARIO 1 - Gemiddeld'!N88,CultCost04[[#All],[Onderhoud]]),_xlfn.XMATCH('SCENARIO 1 - Gemiddeld'!O88,CultCost04[[#Headers],[Geen]:[Waarde MIN]]))),P88)</f>
        <v>5</v>
      </c>
      <c r="R88" s="80" t="s">
        <v>48</v>
      </c>
    </row>
    <row r="89" spans="8:18" s="28" customFormat="1" ht="18" thickTop="1" thickBot="1" x14ac:dyDescent="0.25">
      <c r="H89" s="79" t="str">
        <v>Overige kosten (bijv. folie)</v>
      </c>
      <c r="I89" s="69" t="s">
        <v>54</v>
      </c>
      <c r="J89" s="62"/>
      <c r="K89" s="176" cm="1">
        <f t="array" ref="K89">IF(ISBLANK(J89),INDEX(CultInvest01[[#All],[Geen]:[Waarde MIN]],_xlfn.XMATCH('SCENARIO 1 - Gemiddeld'!H89,CultInvest01[[#All],[Teelt - Investeringen perceel]]),_xlfn.XMATCH('SCENARIO 1 - Gemiddeld'!I89,CultInvest01[[#Headers],[Geen]:[Waarde MIN]])),J89)</f>
        <v>250</v>
      </c>
      <c r="L89" s="190" t="s">
        <v>48</v>
      </c>
      <c r="N89" s="79" t="str">
        <v>Pompen - aanschaf incl. stroomvoorziening</v>
      </c>
      <c r="O89" s="69" t="s">
        <v>54</v>
      </c>
      <c r="P89" s="62"/>
      <c r="Q89" s="55" cm="1">
        <f t="array" ref="Q89">IF(ISBLANK(P89),(K86*INDEX(CultCost04[[#All],[Geen]:[Waarde MIN]],_xlfn.XMATCH('SCENARIO 1 - Gemiddeld'!N89,CultCost04[[#All],[Onderhoud]]),_xlfn.XMATCH('SCENARIO 1 - Gemiddeld'!O89,CultCost04[[#Headers],[Geen]:[Waarde MIN]]))),P89)</f>
        <v>170</v>
      </c>
      <c r="R89" s="80" t="s">
        <v>48</v>
      </c>
    </row>
    <row r="90" spans="8:18" s="28" customFormat="1" ht="18" thickTop="1" thickBot="1" x14ac:dyDescent="0.25">
      <c r="H90" s="79" t="str">
        <v>Vergunningsaanvraag</v>
      </c>
      <c r="I90" s="69" t="s">
        <v>54</v>
      </c>
      <c r="J90" s="62"/>
      <c r="K90" s="176" cm="1">
        <f t="array" ref="K90">IF(ISBLANK(J90),INDEX(CultInvest01[[#All],[Geen]:[Waarde MIN]],_xlfn.XMATCH('SCENARIO 1 - Gemiddeld'!H90,CultInvest01[[#All],[Teelt - Investeringen perceel]]),_xlfn.XMATCH('SCENARIO 1 - Gemiddeld'!I90,CultInvest01[[#Headers],[Geen]:[Waarde MIN]])),J90)</f>
        <v>150</v>
      </c>
      <c r="L90" s="190" t="s">
        <v>48</v>
      </c>
      <c r="N90" s="79" t="str">
        <v>Waterpeilbeheersing (schuiven, slibkisten, etc.)</v>
      </c>
      <c r="O90" s="69" t="s">
        <v>54</v>
      </c>
      <c r="P90" s="62"/>
      <c r="Q90" s="55" cm="1">
        <f t="array" ref="Q90">IF(ISBLANK(P90),(K87*INDEX(CultCost04[[#All],[Geen]:[Waarde MIN]],_xlfn.XMATCH('SCENARIO 1 - Gemiddeld'!N90,CultCost04[[#All],[Onderhoud]]),_xlfn.XMATCH('SCENARIO 1 - Gemiddeld'!O90,CultCost04[[#Headers],[Geen]:[Waarde MIN]]))),P90)</f>
        <v>25</v>
      </c>
      <c r="R90" s="80" t="s">
        <v>48</v>
      </c>
    </row>
    <row r="91" spans="8:18" s="28" customFormat="1" ht="18" thickTop="1" thickBot="1" x14ac:dyDescent="0.25">
      <c r="H91" s="79"/>
      <c r="I91" s="56"/>
      <c r="J91" s="176"/>
      <c r="K91" s="176"/>
      <c r="L91" s="80"/>
      <c r="N91" s="79" t="str">
        <v>Afrastering &amp; vraatbescherming</v>
      </c>
      <c r="O91" s="69" t="s">
        <v>54</v>
      </c>
      <c r="P91" s="62"/>
      <c r="Q91" s="55" cm="1">
        <f t="array" ref="Q91">IF(ISBLANK(P91),(K88*INDEX(CultCost04[[#All],[Geen]:[Waarde MIN]],_xlfn.XMATCH('SCENARIO 1 - Gemiddeld'!N91,CultCost04[[#All],[Onderhoud]]),_xlfn.XMATCH('SCENARIO 1 - Gemiddeld'!O91,CultCost04[[#Headers],[Geen]:[Waarde MIN]]))),P91)</f>
        <v>25</v>
      </c>
      <c r="R91" s="80" t="s">
        <v>48</v>
      </c>
    </row>
    <row r="92" spans="8:18" s="28" customFormat="1" ht="18" thickTop="1" thickBot="1" x14ac:dyDescent="0.25">
      <c r="H92" s="109" t="s">
        <v>67</v>
      </c>
      <c r="I92" s="90" t="s">
        <v>25</v>
      </c>
      <c r="J92" s="92" t="s">
        <v>26</v>
      </c>
      <c r="K92" s="54">
        <f>SUM(K93,K94,K96,K97,K100,K101,K102)</f>
        <v>7265</v>
      </c>
      <c r="L92" s="184" t="s">
        <v>48</v>
      </c>
      <c r="N92" s="79" t="str">
        <v>Overige kosten (bijv. folie)</v>
      </c>
      <c r="O92" s="69" t="s">
        <v>54</v>
      </c>
      <c r="P92" s="62"/>
      <c r="Q92" s="55" cm="1">
        <f t="array" ref="Q92">IF(ISBLANK(P92),(K89*INDEX(CultCost04[[#All],[Geen]:[Waarde MIN]],_xlfn.XMATCH('SCENARIO 1 - Gemiddeld'!N92,CultCost04[[#All],[Onderhoud]]),_xlfn.XMATCH('SCENARIO 1 - Gemiddeld'!O92,CultCost04[[#Headers],[Geen]:[Waarde MIN]]))),P92)</f>
        <v>12.5</v>
      </c>
      <c r="R92" s="80" t="s">
        <v>48</v>
      </c>
    </row>
    <row r="93" spans="8:18" s="28" customFormat="1" ht="18" thickTop="1" thickBot="1" x14ac:dyDescent="0.25">
      <c r="H93" s="189" t="str" cm="1">
        <f t="array" ref="H93:H102">CultInvest02[Planten / Zaaien]</f>
        <v>Klaarmaken grond - grondbewerking</v>
      </c>
      <c r="I93" s="69" t="s">
        <v>51</v>
      </c>
      <c r="J93" s="62"/>
      <c r="K93" s="176" cm="1">
        <f t="array" ref="K93">IF(ISBLANK(J93),INDEX(CultInvest02[[#Headers],[#Data],[Geen]:[Waarde MIN]],_xlfn.XMATCH('SCENARIO 1 - Gemiddeld'!H93,CultInvest02[[#Headers],[#Data],[Planten / Zaaien]]),_xlfn.XMATCH('SCENARIO 1 - Gemiddeld'!I93,CultInvest02[[#Headers],[Geen]:[Waarde MIN]])),J93)</f>
        <v>65</v>
      </c>
      <c r="L93" s="190" t="s">
        <v>48</v>
      </c>
      <c r="N93" s="79"/>
      <c r="O93" s="171"/>
      <c r="P93" s="171"/>
      <c r="Q93" s="171"/>
      <c r="R93" s="80"/>
    </row>
    <row r="94" spans="8:18" s="28" customFormat="1" ht="18" thickTop="1" thickBot="1" x14ac:dyDescent="0.25">
      <c r="H94" s="189" t="str">
        <v>Klaarmaken grond - bodemverbeteraars/bemesting</v>
      </c>
      <c r="I94" s="69" t="s">
        <v>63</v>
      </c>
      <c r="J94" s="62"/>
      <c r="K94" s="176" cm="1">
        <f t="array" ref="K94">IF(ISBLANK(J94),INDEX(CultInvest02[[#Headers],[#Data],[Geen]:[Waarde MIN]],_xlfn.XMATCH('SCENARIO 1 - Gemiddeld'!H94,CultInvest02[[#Headers],[#Data],[Planten / Zaaien]]),_xlfn.XMATCH('SCENARIO 1 - Gemiddeld'!I94,CultInvest02[[#Headers],[Geen]:[Waarde MIN]])),J94)</f>
        <v>0</v>
      </c>
      <c r="L94" s="190" t="s">
        <v>48</v>
      </c>
      <c r="N94" s="109" t="str" cm="1">
        <f t="array" ref="N94:N99">CultCost05[[#All],[Afschrijving &amp; aflossing teeltinvesteringen]]</f>
        <v>Afschrijving &amp; aflossing teeltinvesteringen</v>
      </c>
      <c r="O94" s="90" t="s">
        <v>25</v>
      </c>
      <c r="P94" s="92" t="s">
        <v>26</v>
      </c>
      <c r="Q94" s="65">
        <f>SUM(Q97,Q99)</f>
        <v>1606.8642108067806</v>
      </c>
      <c r="R94" s="184" t="s">
        <v>48</v>
      </c>
    </row>
    <row r="95" spans="8:18" s="28" customFormat="1" ht="18" thickTop="1" thickBot="1" x14ac:dyDescent="0.25">
      <c r="H95" s="187" t="str">
        <v>Plantmateriaal - prijs per m2</v>
      </c>
      <c r="I95" s="69" t="s">
        <v>54</v>
      </c>
      <c r="J95" s="62"/>
      <c r="K95" s="181" cm="1">
        <f t="array" ref="K95">IF(ISBLANK(J95),INDEX(CultInvest02[[#Headers],[#Data],[Geen]:[Waarde MIN]],_xlfn.XMATCH('SCENARIO 1 - Gemiddeld'!H95,CultInvest02[[#Headers],[#Data],[Planten / Zaaien]]),_xlfn.XMATCH('SCENARIO 1 - Gemiddeld'!I95,CultInvest02[[#Headers],[Geen]:[Waarde MIN]])),J95)</f>
        <v>0.6</v>
      </c>
      <c r="L95" s="185" t="s">
        <v>68</v>
      </c>
      <c r="N95" s="79" t="str">
        <v>Rentepercentage (wel/geen lening)</v>
      </c>
      <c r="O95" s="69" t="s">
        <v>54</v>
      </c>
      <c r="P95" s="70"/>
      <c r="Q95" s="66" cm="1">
        <f t="array" ref="Q95">IF(ISBLANK(P95),INDEX(CultCost05[[#All],[Geen]:[Waarde MIN]],_xlfn.XMATCH('SCENARIO 1 - Gemiddeld'!N95,CultCost05[[#All],[Afschrijving &amp; aflossing teeltinvesteringen]]),_xlfn.XMATCH('SCENARIO 1 - Gemiddeld'!O95,CultCost05[[#Headers],[Geen]:[Waarde MIN]])),P95)</f>
        <v>0.05</v>
      </c>
      <c r="R95" s="80"/>
    </row>
    <row r="96" spans="8:18" s="28" customFormat="1" ht="18" thickTop="1" thickBot="1" x14ac:dyDescent="0.25">
      <c r="H96" s="189" t="str">
        <v>Plantmateriaal - totaal</v>
      </c>
      <c r="I96" s="180">
        <f>K95*10000</f>
        <v>6000</v>
      </c>
      <c r="J96" s="62"/>
      <c r="K96" s="176">
        <f>IF(ISBLANK(J96),I96,J96)</f>
        <v>6000</v>
      </c>
      <c r="L96" s="190" t="s">
        <v>48</v>
      </c>
      <c r="N96" s="79" t="str">
        <v>Afschrijvingstermijn - Investeringen perceel</v>
      </c>
      <c r="O96" s="69" t="s">
        <v>54</v>
      </c>
      <c r="P96" s="62"/>
      <c r="Q96" s="56" cm="1">
        <f t="array" ref="Q96">IF(ISBLANK(P96),INDEX(CultCost05[[#All],[Geen]:[Waarde MIN]],_xlfn.XMATCH('SCENARIO 1 - Gemiddeld'!N96,CultCost05[[#All],[Afschrijving &amp; aflossing teeltinvesteringen]]),_xlfn.XMATCH('SCENARIO 1 - Gemiddeld'!O96,CultCost05[[#Headers],[Geen]:[Waarde MIN]])),P96)</f>
        <v>20</v>
      </c>
      <c r="R96" s="80" t="s">
        <v>59</v>
      </c>
    </row>
    <row r="97" spans="2:36" s="28" customFormat="1" ht="18" thickTop="1" thickBot="1" x14ac:dyDescent="0.25">
      <c r="H97" s="189" t="str">
        <v>Plantkosten - machine</v>
      </c>
      <c r="I97" s="69" t="s">
        <v>54</v>
      </c>
      <c r="J97" s="62"/>
      <c r="K97" s="176" cm="1">
        <f t="array" ref="K97">IF(ISBLANK(J97),INDEX(CultInvest02[[#Headers],[#Data],[Geen]:[Waarde MIN]],_xlfn.XMATCH('SCENARIO 1 - Gemiddeld'!H97,CultInvest02[[#Headers],[#Data],[Planten / Zaaien]]),_xlfn.XMATCH('SCENARIO 1 - Gemiddeld'!I97,CultInvest02[[#Headers],[Geen]:[Waarde MIN]])),J97)</f>
        <v>450</v>
      </c>
      <c r="L97" s="190" t="s">
        <v>48</v>
      </c>
      <c r="N97" s="79" t="str">
        <v>Teeltinvesteringen perceel - jaarlijkse afschrijving</v>
      </c>
      <c r="O97" s="56">
        <f>-PMT(Q95,Q96,K73)</f>
        <v>666.01347368273798</v>
      </c>
      <c r="P97" s="62"/>
      <c r="Q97" s="176">
        <f>IF(ISBLANK(P97),O97,P97)</f>
        <v>666.01347368273798</v>
      </c>
      <c r="R97" s="80" t="s">
        <v>48</v>
      </c>
      <c r="U97" s="38"/>
    </row>
    <row r="98" spans="2:36" s="28" customFormat="1" ht="18" thickTop="1" thickBot="1" x14ac:dyDescent="0.25">
      <c r="H98" s="187" t="str">
        <v>Plantkosten - uren per hectare</v>
      </c>
      <c r="I98" s="69" t="s">
        <v>54</v>
      </c>
      <c r="J98" s="62"/>
      <c r="K98" s="178" cm="1">
        <f t="array" ref="K98">IF(ISBLANK(J98),INDEX(CultInvest02[[#Headers],[#Data],[Geen]:[Waarde MIN]],_xlfn.XMATCH('SCENARIO 1 - Gemiddeld'!H98,CultInvest02[[#Headers],[#Data],[Planten / Zaaien]]),_xlfn.XMATCH('SCENARIO 1 - Gemiddeld'!I98,CultInvest02[[#Headers],[Geen]:[Waarde MIN]])),J98)</f>
        <v>30</v>
      </c>
      <c r="L98" s="185" t="s">
        <v>69</v>
      </c>
      <c r="N98" s="79" t="str">
        <v>Afschrijvingstermijn - Plant/zaaikosten</v>
      </c>
      <c r="O98" s="69" t="s">
        <v>54</v>
      </c>
      <c r="P98" s="62"/>
      <c r="Q98" s="56" cm="1">
        <f t="array" ref="Q98">IF(ISBLANK(P98),INDEX(CultCost05[[#All],[Geen]:[Waarde MIN]],_xlfn.XMATCH('SCENARIO 1 - Gemiddeld'!N98,CultCost05[[#All],[Afschrijving &amp; aflossing teeltinvesteringen]]),_xlfn.XMATCH('SCENARIO 1 - Gemiddeld'!O98,CultCost05[[#Headers],[Geen]:[Waarde MIN]])),P98)</f>
        <v>10</v>
      </c>
      <c r="R98" s="80" t="s">
        <v>59</v>
      </c>
    </row>
    <row r="99" spans="2:36" s="28" customFormat="1" ht="18" thickTop="1" thickBot="1" x14ac:dyDescent="0.25">
      <c r="H99" s="187" t="str">
        <v>Plantkosten - prijs per uur</v>
      </c>
      <c r="I99" s="69" t="s">
        <v>54</v>
      </c>
      <c r="J99" s="62"/>
      <c r="K99" s="178" cm="1">
        <f t="array" ref="K99">IF(ISBLANK(J99),INDEX(CultInvest02[[#Headers],[#Data],[Geen]:[Waarde MIN]],_xlfn.XMATCH('SCENARIO 1 - Gemiddeld'!H99,CultInvest02[[#Headers],[#Data],[Planten / Zaaien]]),_xlfn.XMATCH('SCENARIO 1 - Gemiddeld'!I99,CultInvest02[[#Headers],[Geen]:[Waarde MIN]])),J99)</f>
        <v>25</v>
      </c>
      <c r="L99" s="185" t="s">
        <v>57</v>
      </c>
      <c r="N99" s="79" t="str">
        <v>Plant/zaaikosten - jaarlijkse afschrijving</v>
      </c>
      <c r="O99" s="56">
        <f>-PMT(Q95,Q98,K92)</f>
        <v>940.85073712404267</v>
      </c>
      <c r="P99" s="62"/>
      <c r="Q99" s="176">
        <f>IF(ISBLANK(P99),O99,P99)</f>
        <v>940.85073712404267</v>
      </c>
      <c r="R99" s="80" t="s">
        <v>48</v>
      </c>
    </row>
    <row r="100" spans="2:36" s="28" customFormat="1" ht="18" thickTop="1" thickBot="1" x14ac:dyDescent="0.25">
      <c r="H100" s="189" t="str">
        <v>Plantkosten - arbeid totaal</v>
      </c>
      <c r="I100" s="56">
        <f>K98*K99</f>
        <v>750</v>
      </c>
      <c r="J100" s="62"/>
      <c r="K100" s="176">
        <f>IF(ISBLANK(J100),I100,J100)</f>
        <v>750</v>
      </c>
      <c r="L100" s="190" t="s">
        <v>48</v>
      </c>
      <c r="N100" s="79"/>
      <c r="O100" s="56"/>
      <c r="P100" s="176"/>
      <c r="Q100" s="176"/>
      <c r="R100" s="80"/>
    </row>
    <row r="101" spans="2:36" s="28" customFormat="1" ht="18" thickTop="1" thickBot="1" x14ac:dyDescent="0.25">
      <c r="H101" s="189" t="str">
        <v>Zaaigoed</v>
      </c>
      <c r="I101" s="69" t="s">
        <v>63</v>
      </c>
      <c r="J101" s="62"/>
      <c r="K101" s="176" cm="1">
        <f t="array" ref="K101">IF(ISBLANK(J101),INDEX(CultInvest02[[#Headers],[#Data],[Geen]:[Waarde MIN]],_xlfn.XMATCH('SCENARIO 1 - Gemiddeld'!H101,CultInvest02[[#Headers],[#Data],[Planten / Zaaien]]),_xlfn.XMATCH('SCENARIO 1 - Gemiddeld'!I101,CultInvest02[[#Headers],[Geen]:[Waarde MIN]])),J101)</f>
        <v>0</v>
      </c>
      <c r="L101" s="190" t="s">
        <v>48</v>
      </c>
      <c r="N101" s="79"/>
      <c r="O101" s="56"/>
      <c r="P101" s="176"/>
      <c r="Q101" s="176"/>
      <c r="R101" s="80"/>
    </row>
    <row r="102" spans="2:36" s="28" customFormat="1" ht="18" thickTop="1" thickBot="1" x14ac:dyDescent="0.25">
      <c r="H102" s="189" t="str">
        <v>Zaaikosten - machine + arbeid</v>
      </c>
      <c r="I102" s="69" t="s">
        <v>63</v>
      </c>
      <c r="J102" s="62"/>
      <c r="K102" s="176" cm="1">
        <f t="array" ref="K102">IF(ISBLANK(J102),INDEX(CultInvest02[[#Headers],[#Data],[Geen]:[Waarde MIN]],_xlfn.XMATCH('SCENARIO 1 - Gemiddeld'!H102,CultInvest02[[#Headers],[#Data],[Planten / Zaaien]]),_xlfn.XMATCH('SCENARIO 1 - Gemiddeld'!I102,CultInvest02[[#Headers],[Geen]:[Waarde MIN]])),J102)</f>
        <v>0</v>
      </c>
      <c r="L102" s="190" t="s">
        <v>48</v>
      </c>
      <c r="N102" s="79"/>
      <c r="O102" s="56"/>
      <c r="P102" s="176"/>
      <c r="Q102" s="176"/>
      <c r="R102" s="80"/>
    </row>
    <row r="103" spans="2:36" s="28" customFormat="1" ht="17" thickTop="1" x14ac:dyDescent="0.2">
      <c r="H103" s="81"/>
      <c r="I103" s="172"/>
      <c r="J103" s="172"/>
      <c r="K103" s="172"/>
      <c r="L103" s="82"/>
      <c r="N103" s="81"/>
      <c r="O103" s="172"/>
      <c r="P103" s="172"/>
      <c r="Q103" s="172"/>
      <c r="R103" s="82"/>
    </row>
    <row r="104" spans="2:36" s="28" customFormat="1" x14ac:dyDescent="0.2"/>
    <row r="105" spans="2:36" s="106" customFormat="1" ht="17" x14ac:dyDescent="0.2">
      <c r="B105" s="105" t="s">
        <v>70</v>
      </c>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row>
    <row r="106" spans="2:36" x14ac:dyDescent="0.2">
      <c r="B106" s="28"/>
      <c r="I106" s="28"/>
    </row>
    <row r="107" spans="2:36" x14ac:dyDescent="0.2">
      <c r="B107" s="87" t="s">
        <v>71</v>
      </c>
      <c r="C107" s="173"/>
      <c r="D107" s="173"/>
      <c r="E107" s="124"/>
      <c r="F107" s="85"/>
      <c r="H107" s="87" t="s">
        <v>72</v>
      </c>
      <c r="I107" s="173"/>
      <c r="J107" s="173"/>
      <c r="K107" s="124"/>
      <c r="L107" s="85"/>
      <c r="N107" s="198" t="s">
        <v>73</v>
      </c>
      <c r="O107" s="173"/>
      <c r="P107" s="173"/>
      <c r="Q107" s="173"/>
      <c r="R107" s="85"/>
    </row>
    <row r="108" spans="2:36" ht="17" thickBot="1" x14ac:dyDescent="0.25">
      <c r="B108" s="125"/>
      <c r="C108" s="171"/>
      <c r="D108" s="171"/>
      <c r="E108" s="56"/>
      <c r="F108" s="80"/>
      <c r="H108" s="125"/>
      <c r="I108" s="171"/>
      <c r="J108" s="171"/>
      <c r="K108" s="56"/>
      <c r="L108" s="80"/>
      <c r="N108" s="217"/>
      <c r="O108" s="171"/>
      <c r="P108" s="171"/>
      <c r="Q108" s="171"/>
      <c r="R108" s="80"/>
    </row>
    <row r="109" spans="2:36" ht="18" thickTop="1" thickBot="1" x14ac:dyDescent="0.25">
      <c r="B109" s="109" t="s">
        <v>74</v>
      </c>
      <c r="C109" s="503" t="s">
        <v>46</v>
      </c>
      <c r="D109" s="503"/>
      <c r="E109" s="503" t="s">
        <v>47</v>
      </c>
      <c r="F109" s="504"/>
      <c r="H109" s="89" t="s">
        <v>395</v>
      </c>
      <c r="I109" s="171"/>
      <c r="J109" s="171"/>
      <c r="K109" s="56"/>
      <c r="L109" s="80"/>
      <c r="N109" s="79" t="s">
        <v>73</v>
      </c>
      <c r="O109" s="69" t="s">
        <v>167</v>
      </c>
      <c r="P109" s="171"/>
      <c r="Q109" s="171"/>
      <c r="R109" s="80"/>
    </row>
    <row r="110" spans="2:36" ht="17" thickTop="1" x14ac:dyDescent="0.2">
      <c r="B110" s="79" t="str">
        <f>H113</f>
        <v>Blad &amp; stengelmateriaal - februari/maart</v>
      </c>
      <c r="C110" s="221">
        <f>K113</f>
        <v>11.5</v>
      </c>
      <c r="D110" s="171" t="s">
        <v>77</v>
      </c>
      <c r="E110" s="55">
        <f>C110*$E$41</f>
        <v>575</v>
      </c>
      <c r="F110" s="80" t="s">
        <v>78</v>
      </c>
      <c r="H110" s="125"/>
      <c r="I110" s="171"/>
      <c r="J110" s="171"/>
      <c r="K110" s="56"/>
      <c r="L110" s="80"/>
      <c r="N110" s="79"/>
      <c r="O110" s="171"/>
      <c r="P110" s="171"/>
      <c r="Q110" s="171"/>
      <c r="R110" s="80"/>
    </row>
    <row r="111" spans="2:36" ht="17" thickBot="1" x14ac:dyDescent="0.25">
      <c r="B111" s="79" t="str">
        <f>H116</f>
        <v>Pluis</v>
      </c>
      <c r="C111" s="221">
        <f>K116</f>
        <v>0.5</v>
      </c>
      <c r="D111" s="171" t="s">
        <v>77</v>
      </c>
      <c r="E111" s="55">
        <f>C111*$E$41</f>
        <v>25</v>
      </c>
      <c r="F111" s="80" t="s">
        <v>78</v>
      </c>
      <c r="H111" s="109" t="str" cm="1">
        <f t="array" ref="H111:H116">IF(H109='DATA - Variabelen &amp; waarden'!B158,GroteLisdodde[[#All],[Gewasopbrengsten grote lisdodde]],KleineLisdodde[[#All],[Gewasopbrengsten kleine lisdodde]])</f>
        <v>Gewasopbrengsten kleine lisdodde</v>
      </c>
      <c r="I111" s="90" t="s">
        <v>25</v>
      </c>
      <c r="J111" s="92" t="s">
        <v>26</v>
      </c>
      <c r="K111" s="56"/>
      <c r="L111" s="80"/>
      <c r="N111" s="109" t="s">
        <v>79</v>
      </c>
      <c r="O111" s="90" t="s">
        <v>25</v>
      </c>
      <c r="P111" s="92" t="s">
        <v>26</v>
      </c>
      <c r="Q111" s="171"/>
      <c r="R111" s="80"/>
    </row>
    <row r="112" spans="2:36" ht="18" thickTop="1" thickBot="1" x14ac:dyDescent="0.25">
      <c r="B112" s="79"/>
      <c r="C112" s="171"/>
      <c r="D112" s="171"/>
      <c r="E112" s="67"/>
      <c r="F112" s="80"/>
      <c r="H112" s="189" t="str">
        <v>Gehele plant - februari/maart</v>
      </c>
      <c r="I112" s="69" t="s">
        <v>54</v>
      </c>
      <c r="J112" s="62"/>
      <c r="K112" s="219" cm="1">
        <f t="array" ref="K112">IF(ISBLANK(J112),IF(H109='DATA - Variabelen &amp; waarden'!$B$158,INDEX(GroteLisdodde[[#All],[Geen]:[Waarde MIN]],_xlfn.XMATCH('SCENARIO 1 - Gemiddeld'!H112,GroteLisdodde[[#All],[Gewasopbrengsten grote lisdodde]]),_xlfn.XMATCH('SCENARIO 1 - Gemiddeld'!I112,GroteLisdodde[[#Headers],[Geen]:[Waarde MIN]])),INDEX(KleineLisdodde[[#All],[Geen]:[Waarde MIN]],_xlfn.XMATCH('SCENARIO 1 - Gemiddeld'!H112,KleineLisdodde[[#All],[Gewasopbrengsten kleine lisdodde]]),_xlfn.XMATCH('SCENARIO 1 - Gemiddeld'!I112,KleineLisdodde[[#Headers],[Geen]:[Waarde MIN]]))),'SCENARIO 1 - Gemiddeld'!J112)</f>
        <v>12</v>
      </c>
      <c r="L112" s="80" t="s">
        <v>77</v>
      </c>
      <c r="N112" s="187" t="s">
        <v>80</v>
      </c>
      <c r="O112" s="197">
        <f>K112*$D$41</f>
        <v>600</v>
      </c>
      <c r="P112" s="234"/>
      <c r="Q112" s="178">
        <f>IF(O109="Ja",IF(ISBLANK(P112),O112,P112),0)</f>
        <v>600</v>
      </c>
      <c r="R112" s="185" t="s">
        <v>81</v>
      </c>
    </row>
    <row r="113" spans="2:20" ht="18" thickTop="1" thickBot="1" x14ac:dyDescent="0.25">
      <c r="B113" s="109" t="s">
        <v>82</v>
      </c>
      <c r="C113" s="503" t="s">
        <v>46</v>
      </c>
      <c r="D113" s="503"/>
      <c r="E113" s="503" t="s">
        <v>47</v>
      </c>
      <c r="F113" s="504"/>
      <c r="H113" s="189" t="str">
        <v>Blad &amp; stengelmateriaal - februari/maart</v>
      </c>
      <c r="I113" s="180"/>
      <c r="J113" s="180"/>
      <c r="K113" s="219">
        <f>K112-K116</f>
        <v>11.5</v>
      </c>
      <c r="L113" s="80" t="s">
        <v>77</v>
      </c>
      <c r="N113" s="187" t="str">
        <f>'DATA - Variabelen &amp; waarden'!B274</f>
        <v>Drogestofgehalte input (feb/mrt)</v>
      </c>
      <c r="O113" s="69" t="s">
        <v>54</v>
      </c>
      <c r="P113" s="70"/>
      <c r="Q113" s="214" cm="1">
        <f t="array" ref="Q113">IF(ISBLANK(P113),INDEX(VoorDroog[[#All],[Geen]:[Waarde MIN]],_xlfn.XMATCH('SCENARIO 1 - Gemiddeld'!N113,VoorDroog[[#All],[Voordrogen]]),_xlfn.XMATCH('SCENARIO 1 - Gemiddeld'!O113,VoorDroog[[#Headers],[Geen]:[Waarde MIN]])),P113)</f>
        <v>0.6</v>
      </c>
      <c r="R113" s="185" t="s">
        <v>83</v>
      </c>
    </row>
    <row r="114" spans="2:20" ht="18" thickTop="1" thickBot="1" x14ac:dyDescent="0.25">
      <c r="B114" s="79" t="str">
        <f>H121</f>
        <v>Oogstkosten - Gehele plant/blad &amp; stengelmateriaal</v>
      </c>
      <c r="C114" s="223">
        <f>K121</f>
        <v>920</v>
      </c>
      <c r="D114" s="195" t="s">
        <v>48</v>
      </c>
      <c r="E114" s="223">
        <f>C114*$E$41</f>
        <v>46000</v>
      </c>
      <c r="F114" s="190" t="s">
        <v>49</v>
      </c>
      <c r="H114" s="187" t="str">
        <v>Pluis - gewicht pluis per aar in grammen</v>
      </c>
      <c r="I114" s="69" t="s">
        <v>54</v>
      </c>
      <c r="J114" s="62"/>
      <c r="K114" s="178" cm="1">
        <f t="array" ref="K114">IF(ISBLANK(J114),IF(H109='DATA - Variabelen &amp; waarden'!$B$158,INDEX(GroteLisdodde[[#All],[Geen]:[Waarde MIN]],_xlfn.XMATCH('SCENARIO 1 - Gemiddeld'!H114,GroteLisdodde[[#All],[Gewasopbrengsten grote lisdodde]]),_xlfn.XMATCH('SCENARIO 1 - Gemiddeld'!I114,GroteLisdodde[[#Headers],[Geen]:[Waarde MIN]])),INDEX(KleineLisdodde[[#All],[Geen]:[Waarde MIN]],_xlfn.XMATCH('SCENARIO 1 - Gemiddeld'!H114,KleineLisdodde[[#All],[Gewasopbrengsten kleine lisdodde]]),_xlfn.XMATCH('SCENARIO 1 - Gemiddeld'!I114,KleineLisdodde[[#Headers],[Geen]:[Waarde MIN]]))),'SCENARIO 1 - Gemiddeld'!J114)</f>
        <v>10</v>
      </c>
      <c r="L114" s="185" t="s">
        <v>84</v>
      </c>
      <c r="N114" s="207" t="s">
        <v>85</v>
      </c>
      <c r="O114" s="104"/>
      <c r="P114" s="104"/>
      <c r="Q114" s="176">
        <f>IFERROR(Q112/Q113,0)</f>
        <v>1000</v>
      </c>
      <c r="R114" s="190" t="s">
        <v>86</v>
      </c>
    </row>
    <row r="115" spans="2:20" ht="18" thickTop="1" thickBot="1" x14ac:dyDescent="0.25">
      <c r="B115" s="79" t="str">
        <f>H131</f>
        <v>Opslag - Plant/blad &amp; stengelmateriaal</v>
      </c>
      <c r="C115" s="223">
        <f>IFERROR(E115/$E$41,0)</f>
        <v>92</v>
      </c>
      <c r="D115" s="195" t="s">
        <v>48</v>
      </c>
      <c r="E115" s="223">
        <f>SUM(K130,K132)*E110</f>
        <v>4600</v>
      </c>
      <c r="F115" s="190" t="s">
        <v>49</v>
      </c>
      <c r="H115" s="187" t="str">
        <v>Pluis - aren per m2</v>
      </c>
      <c r="I115" s="69" t="s">
        <v>54</v>
      </c>
      <c r="J115" s="62"/>
      <c r="K115" s="178" cm="1">
        <f t="array" ref="K115">IF(ISBLANK(J115),IF(H109='DATA - Variabelen &amp; waarden'!$B$158,INDEX(GroteLisdodde[[#All],[Geen]:[Waarde MIN]],_xlfn.XMATCH('SCENARIO 1 - Gemiddeld'!H115,GroteLisdodde[[#All],[Gewasopbrengsten grote lisdodde]]),_xlfn.XMATCH('SCENARIO 1 - Gemiddeld'!I115,GroteLisdodde[[#Headers],[Geen]:[Waarde MIN]])),INDEX(KleineLisdodde[[#All],[Geen]:[Waarde MIN]],_xlfn.XMATCH('SCENARIO 1 - Gemiddeld'!H115,KleineLisdodde[[#All],[Gewasopbrengsten kleine lisdodde]]),_xlfn.XMATCH('SCENARIO 1 - Gemiddeld'!I115,KleineLisdodde[[#Headers],[Geen]:[Waarde MIN]]))),'SCENARIO 1 - Gemiddeld'!J115)</f>
        <v>5</v>
      </c>
      <c r="L115" s="185" t="s">
        <v>87</v>
      </c>
      <c r="N115" s="187" t="str">
        <f>'DATA - Variabelen &amp; waarden'!B275</f>
        <v xml:space="preserve">Drogestofgehalte output </v>
      </c>
      <c r="O115" s="69" t="s">
        <v>54</v>
      </c>
      <c r="P115" s="62"/>
      <c r="Q115" s="214" cm="1">
        <f t="array" ref="Q115">IF(ISBLANK(P115),INDEX(VoorDroog[[#All],[Geen]:[Waarde MIN]],_xlfn.XMATCH('SCENARIO 1 - Gemiddeld'!N115,VoorDroog[[#All],[Voordrogen]]),_xlfn.XMATCH('SCENARIO 1 - Gemiddeld'!O115,VoorDroog[[#Headers],[Geen]:[Waarde MIN]])),P115)</f>
        <v>0.9</v>
      </c>
      <c r="R115" s="185" t="s">
        <v>83</v>
      </c>
    </row>
    <row r="116" spans="2:20" ht="17" thickTop="1" x14ac:dyDescent="0.2">
      <c r="B116" s="79" t="str">
        <f>H138</f>
        <v>Oogstkosten - Pluis</v>
      </c>
      <c r="C116" s="223">
        <f>K138</f>
        <v>825</v>
      </c>
      <c r="D116" s="195" t="s">
        <v>48</v>
      </c>
      <c r="E116" s="223">
        <f>C116*$E$41</f>
        <v>41250</v>
      </c>
      <c r="F116" s="190" t="s">
        <v>49</v>
      </c>
      <c r="H116" s="79" t="str">
        <v>Pluis</v>
      </c>
      <c r="I116" s="221">
        <f>K114*K115*10000/1000000</f>
        <v>0.5</v>
      </c>
      <c r="J116" s="62"/>
      <c r="K116" s="220">
        <f>IF(ISBLANK(J116),I116,J116)</f>
        <v>0.5</v>
      </c>
      <c r="L116" s="80" t="s">
        <v>77</v>
      </c>
      <c r="N116" s="207" t="s">
        <v>88</v>
      </c>
      <c r="O116" s="195"/>
      <c r="P116" s="195"/>
      <c r="Q116" s="223">
        <f>IFERROR(IF($Q$113&lt;$Q$115,Q112/Q115,0),0)</f>
        <v>666.66666666666663</v>
      </c>
      <c r="R116" s="190" t="s">
        <v>86</v>
      </c>
    </row>
    <row r="117" spans="2:20" s="226" customFormat="1" ht="17" thickBot="1" x14ac:dyDescent="0.25">
      <c r="B117" s="79" t="str">
        <f>H148</f>
        <v>Opslag - Pluis</v>
      </c>
      <c r="C117" s="223">
        <f>IFERROR(E117/$E$41,0)</f>
        <v>16.5</v>
      </c>
      <c r="D117" s="195" t="s">
        <v>48</v>
      </c>
      <c r="E117" s="223">
        <f>SUM(K147,K149)*E111</f>
        <v>825</v>
      </c>
      <c r="F117" s="190" t="s">
        <v>49</v>
      </c>
      <c r="G117" s="327"/>
      <c r="H117" s="227"/>
      <c r="I117" s="228"/>
      <c r="J117" s="228"/>
      <c r="K117" s="229"/>
      <c r="L117" s="230"/>
      <c r="M117" s="327"/>
      <c r="N117" s="233" t="s">
        <v>89</v>
      </c>
      <c r="O117" s="224"/>
      <c r="P117" s="224"/>
      <c r="Q117" s="244">
        <f>IF(Q113&lt;Q115,Q114-Q116,0)</f>
        <v>333.33333333333337</v>
      </c>
      <c r="R117" s="225" t="s">
        <v>86</v>
      </c>
      <c r="S117" s="327"/>
      <c r="T117" s="327"/>
    </row>
    <row r="118" spans="2:20" ht="18" thickTop="1" thickBot="1" x14ac:dyDescent="0.25">
      <c r="B118" s="245" t="s">
        <v>90</v>
      </c>
      <c r="C118" s="223">
        <f>IFERROR(E118/$E$41,0)</f>
        <v>2786.666666666667</v>
      </c>
      <c r="D118" s="247" t="s">
        <v>48</v>
      </c>
      <c r="E118" s="246">
        <f>Q141</f>
        <v>139333.33333333334</v>
      </c>
      <c r="F118" s="248" t="s">
        <v>49</v>
      </c>
      <c r="N118" s="199" t="s">
        <v>91</v>
      </c>
      <c r="O118" s="69" t="s">
        <v>54</v>
      </c>
      <c r="P118" s="242"/>
      <c r="Q118" s="68" cm="1">
        <f t="array" ref="Q118">IF(ISBLANK(P118),_xlfn.XLOOKUP(O118,Tabel37[[#Headers],[Geen]:[Waarde MIN]],'DATA - Variabelen &amp; waarden'!D382:G382,"Selecteer waarde"),P118)</f>
        <v>5</v>
      </c>
      <c r="R118" s="190" t="s">
        <v>92</v>
      </c>
      <c r="T118" s="28"/>
    </row>
    <row r="119" spans="2:20" ht="17" thickTop="1" x14ac:dyDescent="0.2">
      <c r="B119" s="118" t="s">
        <v>93</v>
      </c>
      <c r="C119" s="249">
        <f>SUM(C114:C118)</f>
        <v>4640.166666666667</v>
      </c>
      <c r="D119" s="249" t="s">
        <v>48</v>
      </c>
      <c r="E119" s="249">
        <f>SUM(E114:E118)</f>
        <v>232008.33333333334</v>
      </c>
      <c r="F119" s="250" t="s">
        <v>49</v>
      </c>
      <c r="H119" s="345" t="s">
        <v>94</v>
      </c>
      <c r="I119" s="347"/>
      <c r="J119" s="347"/>
      <c r="K119" s="372"/>
      <c r="L119" s="349"/>
      <c r="N119" s="79"/>
      <c r="O119" s="171"/>
      <c r="P119" s="171"/>
      <c r="Q119" s="171"/>
      <c r="R119" s="80"/>
    </row>
    <row r="120" spans="2:20" x14ac:dyDescent="0.2">
      <c r="H120" s="352"/>
      <c r="I120" s="171"/>
      <c r="J120" s="171"/>
      <c r="K120" s="56"/>
      <c r="L120" s="373"/>
      <c r="N120" s="109" t="s">
        <v>95</v>
      </c>
      <c r="O120" s="90" t="s">
        <v>25</v>
      </c>
      <c r="P120" s="92" t="s">
        <v>26</v>
      </c>
      <c r="Q120" s="171"/>
      <c r="R120" s="80"/>
    </row>
    <row r="121" spans="2:20" ht="17" thickBot="1" x14ac:dyDescent="0.25">
      <c r="H121" s="387" t="s">
        <v>643</v>
      </c>
      <c r="I121" s="90" t="s">
        <v>25</v>
      </c>
      <c r="J121" s="92" t="s">
        <v>26</v>
      </c>
      <c r="K121" s="54">
        <f>SUM(K127,K124)</f>
        <v>920</v>
      </c>
      <c r="L121" s="374" t="s">
        <v>48</v>
      </c>
      <c r="N121" s="187" t="s">
        <v>96</v>
      </c>
      <c r="O121" s="104"/>
      <c r="P121" s="258">
        <v>85</v>
      </c>
      <c r="Q121" s="104">
        <f>P121</f>
        <v>85</v>
      </c>
      <c r="R121" s="185" t="s">
        <v>97</v>
      </c>
    </row>
    <row r="122" spans="2:20" ht="18" thickTop="1" thickBot="1" x14ac:dyDescent="0.25">
      <c r="F122" s="28"/>
      <c r="H122" s="383" t="s">
        <v>411</v>
      </c>
      <c r="I122" s="69" t="s">
        <v>54</v>
      </c>
      <c r="J122" s="62"/>
      <c r="K122" s="178" cm="1">
        <f t="array" ref="K122">IF(ISBLANK(J122),INDEX(HarvestCost01[[#All],[Geen]:[Waarde MIN]],_xlfn.XMATCH('SCENARIO 1 - Gemiddeld'!H122,HarvestCost01[[#All],[Oogst - tarief - Gehele plant/blad &amp; stengelmateriaal]]),_xlfn.XMATCH('SCENARIO 1 - Gemiddeld'!I122,HarvestCost01[[#Headers],[Geen]:[Waarde MIN]])),J122)</f>
        <v>150</v>
      </c>
      <c r="L122" s="378" t="s">
        <v>57</v>
      </c>
      <c r="N122" s="237" t="s">
        <v>99</v>
      </c>
      <c r="O122" s="239" t="s">
        <v>54</v>
      </c>
      <c r="P122" s="258"/>
      <c r="Q122" s="236" cm="1">
        <f t="array" ref="Q122">IF(ISBLANK(P122),INDEX(ProcesCost01[[#All],[Geen]:[Waarde MIN]],_xlfn.XMATCH('SCENARIO 1 - Gemiddeld'!N122,ProcesCost01[[#All],[Transportkosten]]),_xlfn.XMATCH('SCENARIO 1 - Gemiddeld'!O122,ProcesCost01[[#Headers],[Geen]:[Waarde MIN]])),P122)</f>
        <v>0.04</v>
      </c>
      <c r="R122" s="185" t="s">
        <v>100</v>
      </c>
    </row>
    <row r="123" spans="2:20" ht="18" thickTop="1" thickBot="1" x14ac:dyDescent="0.25">
      <c r="H123" s="376" t="s">
        <v>642</v>
      </c>
      <c r="I123" s="69" t="s">
        <v>54</v>
      </c>
      <c r="J123" s="62"/>
      <c r="K123" s="385" cm="1">
        <f t="array" ref="K123">IF(ISBLANK(J123),INDEX('DATA - Variabelen &amp; waarden'!D189:G198,_xlfn.XMATCH('SCENARIO 1 - Gemiddeld'!H122,'DATA - Variabelen &amp; waarden'!B189:B198),_xlfn.XMATCH('SCENARIO 1 - Gemiddeld'!I123,'DATA - Variabelen &amp; waarden'!D189:G189)),J123)</f>
        <v>4</v>
      </c>
      <c r="L123" s="386" t="s">
        <v>55</v>
      </c>
      <c r="N123" s="207" t="s">
        <v>101</v>
      </c>
      <c r="O123" s="171"/>
      <c r="P123" s="62"/>
      <c r="Q123" s="176">
        <f>IF(ISBLANK(P123),IF($Q$113&lt;$Q$115,Q121*Q122*Q114,0),P123)</f>
        <v>3400</v>
      </c>
      <c r="R123" s="80" t="s">
        <v>102</v>
      </c>
    </row>
    <row r="124" spans="2:20" ht="18" thickTop="1" thickBot="1" x14ac:dyDescent="0.25">
      <c r="H124" s="384" t="s">
        <v>641</v>
      </c>
      <c r="I124" s="370">
        <f>K122*K123</f>
        <v>600</v>
      </c>
      <c r="J124" s="62"/>
      <c r="K124" s="176">
        <f>IF(ISBLANK(J124),I124,J124)</f>
        <v>600</v>
      </c>
      <c r="L124" s="342" t="s">
        <v>48</v>
      </c>
      <c r="N124" s="200"/>
      <c r="O124" s="171"/>
      <c r="P124" s="171"/>
      <c r="Q124" s="171"/>
      <c r="R124" s="80"/>
    </row>
    <row r="125" spans="2:20" ht="18" thickTop="1" thickBot="1" x14ac:dyDescent="0.25">
      <c r="H125" s="376" t="str">
        <f>HarvestCost11[[#Headers],[Veld &amp; opslaglogistiek - tarief - Gehele plant/blad &amp; stengelmateriaal]]</f>
        <v>Veld &amp; opslaglogistiek - tarief - Gehele plant/blad &amp; stengelmateriaal</v>
      </c>
      <c r="I125" s="69" t="s">
        <v>54</v>
      </c>
      <c r="J125" s="62"/>
      <c r="K125" s="385" cm="1">
        <f t="array" ref="K125">IF(ISBLANK(J125),_xlfn.XLOOKUP(I125,HarvestCost11[[#Headers],[Geen]:[Waarde MIN]],HarvestCost11[[#Totals],[Geen]:[Waarde MIN]]),J125)</f>
        <v>80</v>
      </c>
      <c r="L125" s="386" t="s">
        <v>57</v>
      </c>
      <c r="N125" s="187" t="s">
        <v>105</v>
      </c>
      <c r="O125" s="104"/>
      <c r="P125" s="258">
        <v>85</v>
      </c>
      <c r="Q125" s="104">
        <f>P125</f>
        <v>85</v>
      </c>
      <c r="R125" s="185" t="s">
        <v>97</v>
      </c>
    </row>
    <row r="126" spans="2:20" ht="18" thickTop="1" thickBot="1" x14ac:dyDescent="0.25">
      <c r="H126" s="376" t="s">
        <v>640</v>
      </c>
      <c r="I126" s="69" t="s">
        <v>54</v>
      </c>
      <c r="J126" s="62"/>
      <c r="K126" s="385" cm="1">
        <f t="array" ref="K126">IF(ISBLANK(J126),INDEX('DATA - Variabelen &amp; waarden'!D189:G198,_xlfn.XMATCH('SCENARIO 1 - Gemiddeld'!H122,'DATA - Variabelen &amp; waarden'!B189:B198),_xlfn.XMATCH('SCENARIO 1 - Gemiddeld'!I126,'DATA - Variabelen &amp; waarden'!D189:G189)),J126)</f>
        <v>4</v>
      </c>
      <c r="L126" s="386" t="s">
        <v>55</v>
      </c>
      <c r="N126" s="237" t="s">
        <v>99</v>
      </c>
      <c r="O126" s="239" t="s">
        <v>54</v>
      </c>
      <c r="P126" s="258"/>
      <c r="Q126" s="236" cm="1">
        <f t="array" ref="Q126">IF(ISBLANK(P126),INDEX(ProcesCost01[[#All],[Geen]:[Waarde MIN]],_xlfn.XMATCH('SCENARIO 1 - Gemiddeld'!N126,ProcesCost01[[#All],[Transportkosten]]),_xlfn.XMATCH('SCENARIO 1 - Gemiddeld'!O126,ProcesCost01[[#Headers],[Geen]:[Waarde MIN]])),P126)</f>
        <v>0.04</v>
      </c>
      <c r="R126" s="185" t="s">
        <v>100</v>
      </c>
    </row>
    <row r="127" spans="2:20" ht="17" thickTop="1" x14ac:dyDescent="0.2">
      <c r="H127" s="384" t="s">
        <v>639</v>
      </c>
      <c r="I127" s="370">
        <f>K125*K126</f>
        <v>320</v>
      </c>
      <c r="J127" s="62"/>
      <c r="K127" s="176">
        <f>IF(ISBLANK(J127),I127,J127)</f>
        <v>320</v>
      </c>
      <c r="L127" s="342" t="s">
        <v>48</v>
      </c>
      <c r="N127" s="207" t="s">
        <v>107</v>
      </c>
      <c r="O127" s="171"/>
      <c r="P127" s="62"/>
      <c r="Q127" s="176">
        <f>IF(ISBLANK(P127),Q125*Q126*Q116,P127)</f>
        <v>2266.6666666666665</v>
      </c>
      <c r="R127" s="80" t="s">
        <v>102</v>
      </c>
    </row>
    <row r="128" spans="2:20" x14ac:dyDescent="0.2">
      <c r="H128" s="340"/>
      <c r="I128" s="341"/>
      <c r="J128" s="341"/>
      <c r="K128" s="370"/>
      <c r="L128" s="342"/>
      <c r="N128" s="200"/>
      <c r="O128" s="171"/>
      <c r="P128" s="171"/>
      <c r="Q128" s="171"/>
      <c r="R128" s="80"/>
    </row>
    <row r="129" spans="2:18" ht="17" thickBot="1" x14ac:dyDescent="0.25">
      <c r="H129" s="387" t="str">
        <f>Stock1[[#Headers],[Bewaarmethode - Plant/blad &amp; stengelmateriaal]]</f>
        <v>Bewaarmethode - Plant/blad &amp; stengelmateriaal</v>
      </c>
      <c r="I129" s="171"/>
      <c r="J129" s="171"/>
      <c r="K129" s="56"/>
      <c r="L129" s="373"/>
      <c r="N129" s="109" t="s">
        <v>111</v>
      </c>
      <c r="O129" s="90" t="s">
        <v>25</v>
      </c>
      <c r="P129" s="92" t="s">
        <v>26</v>
      </c>
      <c r="Q129" s="171"/>
      <c r="R129" s="80"/>
    </row>
    <row r="130" spans="2:18" ht="18" thickTop="1" thickBot="1" x14ac:dyDescent="0.25">
      <c r="H130" s="375" t="s">
        <v>429</v>
      </c>
      <c r="I130" s="69" t="s">
        <v>54</v>
      </c>
      <c r="J130" s="62"/>
      <c r="K130" s="56" cm="1">
        <f t="array" ref="K130">IF(ISBLANK(J130),INDEX(Stock1[[#All],[Geen]:[Waarde MIN]],_xlfn.XMATCH('SCENARIO 1 - Gemiddeld'!H130,Stock1[[#All],[Bewaarmethode - Plant/blad &amp; stengelmateriaal]]),_xlfn.XMATCH('SCENARIO 1 - Gemiddeld'!I130,Stock1[[#Headers],[Geen]:[Waarde MIN]])),J130)</f>
        <v>0</v>
      </c>
      <c r="L130" s="373" t="s">
        <v>104</v>
      </c>
      <c r="N130" s="237" t="s">
        <v>114</v>
      </c>
      <c r="O130" s="69" t="s">
        <v>54</v>
      </c>
      <c r="P130" s="77"/>
      <c r="Q130" s="240" cm="1">
        <f t="array" ref="Q130">IF(ISBLANK(P130),INDEX(DryingCost1[[#All],[Geen]:[Waarde MIN]],_xlfn.XMATCH('SCENARIO 1 - Gemiddeld'!N130,DryingCost1[[#All],[Drogen - Kosten]]),_xlfn.XMATCH('SCENARIO 1 - Gemiddeld'!O130,DryingCost1[[#Headers],[Geen]:[Waarde MIN]])),P130)</f>
        <v>400</v>
      </c>
      <c r="R130" s="185" t="s">
        <v>115</v>
      </c>
    </row>
    <row r="131" spans="2:18" ht="18" thickTop="1" thickBot="1" x14ac:dyDescent="0.25">
      <c r="H131" s="387" t="str">
        <f>Stock11[[#Headers],[Opslag - Plant/blad &amp; stengelmateriaal]]</f>
        <v>Opslag - Plant/blad &amp; stengelmateriaal</v>
      </c>
      <c r="I131" s="171"/>
      <c r="J131" s="171"/>
      <c r="K131" s="56"/>
      <c r="L131" s="373"/>
      <c r="N131" s="206" t="s">
        <v>117</v>
      </c>
      <c r="O131" s="69" t="s">
        <v>54</v>
      </c>
      <c r="P131" s="76"/>
      <c r="Q131" s="241" cm="1">
        <f t="array" ref="Q131">IF(ISBLANK(P131),INDEX(DryingCost11[[#All],[Geen]:[Waarde MIN]],_xlfn.XMATCH('SCENARIO 1 - Gemiddeld'!N130,DryingCost11[[#All],[Drogen - Producteffciency]]),_xlfn.XMATCH('SCENARIO 1 - Gemiddeld'!O131,DryingCost11[[#Headers],[Geen]:[Waarde MIN]])),P131)</f>
        <v>0.9</v>
      </c>
      <c r="R131" s="185" t="s">
        <v>58</v>
      </c>
    </row>
    <row r="132" spans="2:18" s="28" customFormat="1" ht="18" thickTop="1" thickBot="1" x14ac:dyDescent="0.25">
      <c r="B132"/>
      <c r="C132" s="203"/>
      <c r="D132" s="203"/>
      <c r="E132" s="203"/>
      <c r="F132" s="203"/>
      <c r="H132" s="375" t="s">
        <v>106</v>
      </c>
      <c r="I132" s="69" t="s">
        <v>54</v>
      </c>
      <c r="J132" s="62"/>
      <c r="K132" s="68" cm="1">
        <f t="array" ref="K132">IF(ISBLANK(J132),INDEX(Stock11[[#All],[Geen]:[Waarde MIN]],_xlfn.XMATCH('SCENARIO 1 - Gemiddeld'!H132,Stock11[[#All],[Opslag - Plant/blad &amp; stengelmateriaal]]),_xlfn.XMATCH('SCENARIO 1 - Gemiddeld'!I132,Stock11[[#Headers],[Geen]:[Waarde MIN]])),J132)</f>
        <v>8</v>
      </c>
      <c r="L132" s="373" t="s">
        <v>104</v>
      </c>
      <c r="N132" s="238" t="s">
        <v>111</v>
      </c>
      <c r="O132" s="171"/>
      <c r="P132" s="62"/>
      <c r="Q132" s="176">
        <f>IF(ISBLANK(P132),Q130*Q117,P132)</f>
        <v>133333.33333333334</v>
      </c>
      <c r="R132" s="80" t="s">
        <v>102</v>
      </c>
    </row>
    <row r="133" spans="2:18" s="28" customFormat="1" ht="18" thickTop="1" thickBot="1" x14ac:dyDescent="0.25">
      <c r="B133"/>
      <c r="C133"/>
      <c r="D133"/>
      <c r="E133"/>
      <c r="F133"/>
      <c r="H133" s="377" t="s">
        <v>108</v>
      </c>
      <c r="I133" s="171"/>
      <c r="J133" s="171"/>
      <c r="K133" s="56"/>
      <c r="L133" s="373"/>
      <c r="N133" s="207" t="s">
        <v>118</v>
      </c>
      <c r="O133" s="171"/>
      <c r="P133" s="171"/>
      <c r="Q133" s="55">
        <f>Q116*Q131</f>
        <v>600</v>
      </c>
      <c r="R133" s="80" t="s">
        <v>86</v>
      </c>
    </row>
    <row r="134" spans="2:18" s="28" customFormat="1" ht="18" thickTop="1" thickBot="1" x14ac:dyDescent="0.25">
      <c r="B134"/>
      <c r="C134"/>
      <c r="D134"/>
      <c r="E134"/>
      <c r="F134"/>
      <c r="H134" s="375" t="s">
        <v>109</v>
      </c>
      <c r="I134" s="69" t="s">
        <v>54</v>
      </c>
      <c r="J134" s="62"/>
      <c r="K134" s="178" cm="1">
        <f t="array" ref="K134">IF(ISBLANK(J134),INDEX(StockBales[[#All],[Geen]:[Waarde MIN]],_xlfn.XMATCH(H134,StockBales[[#All],[DS inhoud balen ]]),_xlfn.XMATCH('SCENARIO 1 - Gemiddeld'!I134,StockBales[[#Headers],[Geen]:[Waarde MIN]])),J134)</f>
        <v>299.70000000000005</v>
      </c>
      <c r="L134" s="378" t="s">
        <v>110</v>
      </c>
      <c r="N134" s="207" t="s">
        <v>120</v>
      </c>
      <c r="O134" s="171"/>
      <c r="P134" s="171"/>
      <c r="Q134" s="55">
        <f>Q116-Q133</f>
        <v>66.666666666666629</v>
      </c>
      <c r="R134" s="80" t="s">
        <v>86</v>
      </c>
    </row>
    <row r="135" spans="2:18" s="28" customFormat="1" ht="17" thickTop="1" x14ac:dyDescent="0.2">
      <c r="B135"/>
      <c r="C135"/>
      <c r="D135"/>
      <c r="E135"/>
      <c r="F135"/>
      <c r="H135" s="379" t="s">
        <v>112</v>
      </c>
      <c r="I135" s="195"/>
      <c r="J135" s="195"/>
      <c r="K135" s="176">
        <f>IF(OR(H130='DATA - Variabelen &amp; waarden'!B234,H130='DATA - Variabelen &amp; waarden'!B235,H130='DATA - Variabelen &amp; waarden'!B237),K134/1000*K130,0)</f>
        <v>0</v>
      </c>
      <c r="L135" s="380" t="s">
        <v>113</v>
      </c>
      <c r="N135" s="79"/>
      <c r="O135" s="171"/>
      <c r="P135" s="171"/>
      <c r="Q135" s="171"/>
      <c r="R135" s="80"/>
    </row>
    <row r="136" spans="2:18" s="28" customFormat="1" x14ac:dyDescent="0.2">
      <c r="B136"/>
      <c r="C136"/>
      <c r="D136"/>
      <c r="E136"/>
      <c r="F136"/>
      <c r="H136" s="379" t="s">
        <v>116</v>
      </c>
      <c r="I136" s="195"/>
      <c r="J136" s="195"/>
      <c r="K136" s="192">
        <f>IF(OR(H132='DATA - Variabelen &amp; waarden'!B244,H132='DATA - Variabelen &amp; waarden'!B245,H132='DATA - Variabelen &amp; waarden'!B246),'SCENARIO 1 - Gemiddeld'!K134/1000*'SCENARIO 1 - Gemiddeld'!K132,0)</f>
        <v>2.3976000000000002</v>
      </c>
      <c r="L136" s="380" t="s">
        <v>113</v>
      </c>
      <c r="N136" s="202" t="s">
        <v>121</v>
      </c>
      <c r="O136" s="171"/>
      <c r="P136" s="171"/>
      <c r="Q136" s="171"/>
      <c r="R136" s="80"/>
    </row>
    <row r="137" spans="2:18" s="28" customFormat="1" x14ac:dyDescent="0.2">
      <c r="B137"/>
      <c r="C137"/>
      <c r="D137"/>
      <c r="E137"/>
      <c r="F137"/>
      <c r="H137" s="352"/>
      <c r="I137" s="171"/>
      <c r="J137" s="171"/>
      <c r="K137" s="56"/>
      <c r="L137" s="373"/>
      <c r="N137" s="200" t="s">
        <v>123</v>
      </c>
      <c r="O137" s="171"/>
      <c r="P137" s="171"/>
      <c r="Q137" s="55">
        <f>Q123</f>
        <v>3400</v>
      </c>
      <c r="R137" s="80" t="s">
        <v>124</v>
      </c>
    </row>
    <row r="138" spans="2:18" s="28" customFormat="1" ht="17" thickBot="1" x14ac:dyDescent="0.25">
      <c r="B138"/>
      <c r="C138"/>
      <c r="D138"/>
      <c r="E138"/>
      <c r="F138"/>
      <c r="H138" s="387" t="s">
        <v>644</v>
      </c>
      <c r="I138" s="90" t="s">
        <v>25</v>
      </c>
      <c r="J138" s="92" t="s">
        <v>26</v>
      </c>
      <c r="K138" s="371">
        <f>SUM(K141,K144)</f>
        <v>825</v>
      </c>
      <c r="L138" s="374" t="s">
        <v>48</v>
      </c>
      <c r="N138" s="200" t="s">
        <v>125</v>
      </c>
      <c r="O138" s="171"/>
      <c r="P138" s="171"/>
      <c r="Q138" s="55">
        <f>Q127</f>
        <v>2266.6666666666665</v>
      </c>
      <c r="R138" s="80" t="s">
        <v>124</v>
      </c>
    </row>
    <row r="139" spans="2:18" s="28" customFormat="1" ht="18" thickTop="1" thickBot="1" x14ac:dyDescent="0.25">
      <c r="B139"/>
      <c r="C139"/>
      <c r="D139"/>
      <c r="E139"/>
      <c r="F139"/>
      <c r="H139" s="383" t="s">
        <v>413</v>
      </c>
      <c r="I139" s="69" t="s">
        <v>54</v>
      </c>
      <c r="J139" s="62"/>
      <c r="K139" s="385" cm="1">
        <f t="array" ref="K139">IF(ISBLANK(J139),INDEX(HarvestCost2[[#All],[Geen]:[Waarde MIN]],_xlfn.XMATCH('SCENARIO 1 - Gemiddeld'!H139,HarvestCost2[[#All],[Oogst - tarief - Pluis]]),_xlfn.XMATCH('SCENARIO 1 - Gemiddeld'!I139,HarvestCost2[[#Headers],[Geen]:[Waarde MIN]])),J139)</f>
        <v>85</v>
      </c>
      <c r="L139" s="378" t="s">
        <v>57</v>
      </c>
      <c r="N139" s="79" t="s">
        <v>111</v>
      </c>
      <c r="O139" s="171"/>
      <c r="P139" s="171"/>
      <c r="Q139" s="55">
        <f>Q132</f>
        <v>133333.33333333334</v>
      </c>
      <c r="R139" s="80" t="s">
        <v>124</v>
      </c>
    </row>
    <row r="140" spans="2:18" s="28" customFormat="1" ht="18" customHeight="1" thickTop="1" thickBot="1" x14ac:dyDescent="0.4">
      <c r="B140"/>
      <c r="C140"/>
      <c r="D140"/>
      <c r="E140"/>
      <c r="F140"/>
      <c r="H140" s="389" t="s">
        <v>642</v>
      </c>
      <c r="I140" s="388" t="s">
        <v>54</v>
      </c>
      <c r="J140" s="62"/>
      <c r="K140" s="391" cm="1">
        <f t="array" ref="K140">IF(ISBLANK(J140),INDEX('DATA - Variabelen &amp; waarden'!D214:G220,_xlfn.XMATCH('SCENARIO 1 - Gemiddeld'!H139,'DATA - Variabelen &amp; waarden'!B214:B220),_xlfn.XMATCH('SCENARIO 1 - Gemiddeld'!I140,'DATA - Variabelen &amp; waarden'!D214:G214)),J140)</f>
        <v>5</v>
      </c>
      <c r="L140" s="392" t="s">
        <v>55</v>
      </c>
      <c r="N140" s="222" t="s">
        <v>128</v>
      </c>
      <c r="O140" s="171"/>
      <c r="P140" s="171"/>
      <c r="Q140" s="235">
        <f>Q134*Q118</f>
        <v>333.33333333333314</v>
      </c>
      <c r="R140" s="80" t="s">
        <v>124</v>
      </c>
    </row>
    <row r="141" spans="2:18" s="28" customFormat="1" ht="18" thickTop="1" thickBot="1" x14ac:dyDescent="0.25">
      <c r="B141"/>
      <c r="C141"/>
      <c r="D141"/>
      <c r="E141"/>
      <c r="F141"/>
      <c r="H141" s="384" t="s">
        <v>641</v>
      </c>
      <c r="I141" s="370">
        <f>K139*K140</f>
        <v>425</v>
      </c>
      <c r="J141" s="62"/>
      <c r="K141" s="176">
        <f>IF(ISBLANK(J141),I141,J141)</f>
        <v>425</v>
      </c>
      <c r="L141" s="342" t="s">
        <v>48</v>
      </c>
      <c r="N141" s="243" t="s">
        <v>131</v>
      </c>
      <c r="O141" s="57"/>
      <c r="P141" s="57"/>
      <c r="Q141" s="65">
        <f>SUM(Q137:Q140)</f>
        <v>139333.33333333334</v>
      </c>
      <c r="R141" s="184" t="s">
        <v>49</v>
      </c>
    </row>
    <row r="142" spans="2:18" s="28" customFormat="1" ht="18" thickTop="1" thickBot="1" x14ac:dyDescent="0.25">
      <c r="B142"/>
      <c r="C142"/>
      <c r="D142"/>
      <c r="E142"/>
      <c r="F142"/>
      <c r="H142" s="376" t="str">
        <f>HarvestCost21[[#Headers],[Veld &amp; opslaglogistiek - tarief - Pluis ]]</f>
        <v xml:space="preserve">Veld &amp; opslaglogistiek - tarief - Pluis </v>
      </c>
      <c r="I142" s="69" t="s">
        <v>54</v>
      </c>
      <c r="J142" s="62"/>
      <c r="K142" s="385" cm="1">
        <f t="array" ref="K142">IF(ISBLANK(J142),_xlfn.XLOOKUP(I142,HarvestCost21[[#Headers],[Geen]:[Waarde MIN]],HarvestCost21[[#Totals],[Geen]:[Waarde MIN]]),J142)</f>
        <v>80</v>
      </c>
      <c r="L142" s="386" t="s">
        <v>57</v>
      </c>
      <c r="N142" s="207" t="s">
        <v>134</v>
      </c>
      <c r="O142" s="195"/>
      <c r="P142" s="195"/>
      <c r="Q142" s="176">
        <f>IFERROR(Q141/Q133,0)</f>
        <v>232.22222222222223</v>
      </c>
      <c r="R142" s="190" t="s">
        <v>92</v>
      </c>
    </row>
    <row r="143" spans="2:18" s="28" customFormat="1" ht="18" thickTop="1" thickBot="1" x14ac:dyDescent="0.25">
      <c r="B143"/>
      <c r="C143"/>
      <c r="D143"/>
      <c r="E143"/>
      <c r="F143"/>
      <c r="H143" s="376" t="s">
        <v>640</v>
      </c>
      <c r="I143" s="69" t="s">
        <v>54</v>
      </c>
      <c r="J143" s="62"/>
      <c r="K143" s="390" cm="1">
        <f t="array" ref="K143">IF(ISBLANK(J143),INDEX('DATA - Variabelen &amp; waarden'!D214:G220,_xlfn.XMATCH('SCENARIO 1 - Gemiddeld'!H139,'DATA - Variabelen &amp; waarden'!B214:B220),_xlfn.XMATCH('SCENARIO 1 - Gemiddeld'!I143,'DATA - Variabelen &amp; waarden'!D214:G214)),J143)</f>
        <v>5</v>
      </c>
      <c r="L143" s="386" t="s">
        <v>55</v>
      </c>
      <c r="N143" s="187"/>
      <c r="O143" s="171"/>
      <c r="P143" s="171"/>
      <c r="Q143" s="196"/>
      <c r="R143" s="185"/>
    </row>
    <row r="144" spans="2:18" s="28" customFormat="1" ht="17" thickTop="1" x14ac:dyDescent="0.2">
      <c r="B144"/>
      <c r="C144"/>
      <c r="D144"/>
      <c r="E144"/>
      <c r="F144"/>
      <c r="H144" s="384" t="s">
        <v>639</v>
      </c>
      <c r="I144" s="381">
        <f>K142*K143</f>
        <v>400</v>
      </c>
      <c r="J144" s="62"/>
      <c r="K144" s="176">
        <f>IF(ISBLANK(J144),I144,J144)</f>
        <v>400</v>
      </c>
      <c r="L144" s="342" t="s">
        <v>48</v>
      </c>
      <c r="N144" s="187"/>
      <c r="O144" s="171"/>
      <c r="P144" s="171"/>
      <c r="Q144" s="196"/>
      <c r="R144" s="185"/>
    </row>
    <row r="145" spans="2:36" s="28" customFormat="1" x14ac:dyDescent="0.2">
      <c r="B145"/>
      <c r="C145"/>
      <c r="D145"/>
      <c r="E145"/>
      <c r="F145"/>
      <c r="H145" s="340"/>
      <c r="I145" s="341"/>
      <c r="J145" s="341"/>
      <c r="K145" s="341"/>
      <c r="L145" s="342"/>
      <c r="N145" s="187"/>
      <c r="O145" s="171"/>
      <c r="P145" s="171"/>
      <c r="Q145" s="196"/>
      <c r="R145" s="185"/>
    </row>
    <row r="146" spans="2:36" s="28" customFormat="1" ht="17" thickBot="1" x14ac:dyDescent="0.25">
      <c r="B146"/>
      <c r="C146"/>
      <c r="D146"/>
      <c r="E146"/>
      <c r="F146"/>
      <c r="H146" s="387" t="str">
        <f>Stock2[[#Headers],[Bewaarmethode - Pluis]]</f>
        <v>Bewaarmethode - Pluis</v>
      </c>
      <c r="I146" s="171"/>
      <c r="J146" s="171"/>
      <c r="K146" s="370"/>
      <c r="L146" s="373"/>
      <c r="N146" s="187"/>
      <c r="O146" s="171"/>
      <c r="P146" s="171"/>
      <c r="Q146" s="196"/>
      <c r="R146" s="185"/>
    </row>
    <row r="147" spans="2:36" s="28" customFormat="1" ht="18" thickTop="1" thickBot="1" x14ac:dyDescent="0.25">
      <c r="B147"/>
      <c r="C147"/>
      <c r="D147"/>
      <c r="E147"/>
      <c r="F147"/>
      <c r="H147" s="375" t="s">
        <v>687</v>
      </c>
      <c r="I147" s="69" t="s">
        <v>54</v>
      </c>
      <c r="J147" s="62"/>
      <c r="K147" s="56" cm="1">
        <f t="array" ref="K147">IF(ISBLANK(J147),INDEX(Stock2[[#All],[Geen]:[Waarde MIN]],_xlfn.XMATCH('SCENARIO 1 - Gemiddeld'!H147,Stock2[[#All],[Bewaarmethode - Pluis]]),_xlfn.XMATCH('SCENARIO 1 - Gemiddeld'!I147,Stock2[[#Headers],[Geen]:[Waarde MIN]])),J147)</f>
        <v>25</v>
      </c>
      <c r="L147" s="373" t="s">
        <v>104</v>
      </c>
      <c r="N147" s="187"/>
      <c r="O147" s="171"/>
      <c r="P147" s="171"/>
      <c r="Q147" s="196"/>
      <c r="R147" s="185"/>
    </row>
    <row r="148" spans="2:36" s="28" customFormat="1" ht="18" thickTop="1" thickBot="1" x14ac:dyDescent="0.25">
      <c r="B148"/>
      <c r="C148"/>
      <c r="D148"/>
      <c r="E148"/>
      <c r="F148"/>
      <c r="H148" s="387" t="str">
        <f>Stock21[[#Headers],[Opslag - Pluis]]</f>
        <v>Opslag - Pluis</v>
      </c>
      <c r="I148" s="171"/>
      <c r="J148" s="171"/>
      <c r="K148" s="56"/>
      <c r="L148" s="373"/>
      <c r="N148" s="187"/>
      <c r="O148" s="171"/>
      <c r="P148" s="171"/>
      <c r="Q148" s="196"/>
      <c r="R148" s="185"/>
    </row>
    <row r="149" spans="2:36" s="28" customFormat="1" ht="18" thickTop="1" thickBot="1" x14ac:dyDescent="0.25">
      <c r="B149"/>
      <c r="C149"/>
      <c r="D149"/>
      <c r="E149"/>
      <c r="F149"/>
      <c r="H149" s="375" t="s">
        <v>106</v>
      </c>
      <c r="I149" s="69" t="s">
        <v>54</v>
      </c>
      <c r="J149" s="62"/>
      <c r="K149" s="68" cm="1">
        <f t="array" ref="K149">IF(ISBLANK(J149),INDEX(Stock21[[#All],[Geen]:[Waarde MIN]],_xlfn.XMATCH('SCENARIO 1 - Gemiddeld'!H149,Stock21[[#All],[Opslag - Pluis]]),_xlfn.XMATCH('SCENARIO 1 - Gemiddeld'!I149,Stock21[[#Headers],[Geen]:[Waarde MIN]])),J149)</f>
        <v>8</v>
      </c>
      <c r="L149" s="373" t="s">
        <v>104</v>
      </c>
      <c r="N149" s="187"/>
      <c r="O149" s="171"/>
      <c r="P149" s="171"/>
      <c r="Q149" s="196"/>
      <c r="R149" s="185"/>
    </row>
    <row r="150" spans="2:36" s="28" customFormat="1" ht="18" thickTop="1" thickBot="1" x14ac:dyDescent="0.25">
      <c r="B150"/>
      <c r="C150"/>
      <c r="D150"/>
      <c r="E150"/>
      <c r="F150"/>
      <c r="H150" s="382" t="s">
        <v>127</v>
      </c>
      <c r="I150" s="171"/>
      <c r="J150" s="171"/>
      <c r="K150" s="56"/>
      <c r="L150" s="373"/>
      <c r="N150" s="187"/>
      <c r="O150" s="171"/>
      <c r="P150" s="171"/>
      <c r="Q150" s="196"/>
      <c r="R150" s="185"/>
    </row>
    <row r="151" spans="2:36" s="28" customFormat="1" ht="18" thickTop="1" thickBot="1" x14ac:dyDescent="0.25">
      <c r="B151"/>
      <c r="C151"/>
      <c r="D151"/>
      <c r="E151"/>
      <c r="F151"/>
      <c r="H151" s="375" t="s">
        <v>129</v>
      </c>
      <c r="I151" s="69" t="s">
        <v>54</v>
      </c>
      <c r="J151" s="62"/>
      <c r="K151" s="178" cm="1">
        <f t="array" ref="K151">IF(ISBLANK(J151),INDEX(StockPluis[[#All],[Geen]:[Waarde MIN]],_xlfn.XMATCH('SCENARIO 1 - Gemiddeld'!H151,StockPluis[[#All],[DS inhoud big bag]]),_xlfn.XMATCH('SCENARIO 1 - Gemiddeld'!I151,StockPluis[[#Headers],[Geen]:[Waarde MIN]])),J151)</f>
        <v>65</v>
      </c>
      <c r="L151" s="378" t="s">
        <v>130</v>
      </c>
      <c r="N151" s="187"/>
      <c r="O151" s="171"/>
      <c r="P151" s="171"/>
      <c r="Q151" s="196"/>
      <c r="R151" s="185"/>
    </row>
    <row r="152" spans="2:36" s="28" customFormat="1" ht="17" thickTop="1" x14ac:dyDescent="0.2">
      <c r="B152"/>
      <c r="C152"/>
      <c r="D152"/>
      <c r="E152"/>
      <c r="F152"/>
      <c r="H152" s="379" t="s">
        <v>132</v>
      </c>
      <c r="I152" s="195"/>
      <c r="J152" s="195"/>
      <c r="K152" s="176">
        <f>IF(H147='DATA - Variabelen &amp; waarden'!B259,K151/1000*K147,0)</f>
        <v>0</v>
      </c>
      <c r="L152" s="380" t="s">
        <v>133</v>
      </c>
      <c r="N152" s="187"/>
      <c r="O152" s="171"/>
      <c r="P152" s="171"/>
      <c r="Q152" s="196"/>
      <c r="R152" s="185"/>
    </row>
    <row r="153" spans="2:36" s="28" customFormat="1" x14ac:dyDescent="0.2">
      <c r="B153"/>
      <c r="C153"/>
      <c r="D153"/>
      <c r="E153"/>
      <c r="F153"/>
      <c r="H153" s="379" t="s">
        <v>135</v>
      </c>
      <c r="I153" s="195"/>
      <c r="J153" s="195"/>
      <c r="K153" s="192">
        <f>IF(H149='DATA - Variabelen &amp; waarden'!B271,'SCENARIO 1 - Gemiddeld'!K151/1000*'SCENARIO 1 - Gemiddeld'!K149,0)</f>
        <v>0</v>
      </c>
      <c r="L153" s="380" t="s">
        <v>133</v>
      </c>
      <c r="N153" s="79"/>
      <c r="O153" s="171"/>
      <c r="P153" s="171"/>
      <c r="Q153" s="171"/>
      <c r="R153" s="80"/>
    </row>
    <row r="154" spans="2:36" s="28" customFormat="1" x14ac:dyDescent="0.2">
      <c r="B154"/>
      <c r="C154"/>
      <c r="D154"/>
      <c r="E154"/>
      <c r="F154"/>
      <c r="H154" s="81"/>
      <c r="I154" s="172"/>
      <c r="J154" s="172"/>
      <c r="K154" s="172"/>
      <c r="L154" s="82"/>
      <c r="N154" s="81"/>
      <c r="O154" s="172"/>
      <c r="P154" s="172"/>
      <c r="Q154" s="172"/>
      <c r="R154" s="82"/>
    </row>
    <row r="155" spans="2:36" s="28" customFormat="1" x14ac:dyDescent="0.2">
      <c r="K155" s="175"/>
    </row>
    <row r="156" spans="2:36" s="106" customFormat="1" ht="17" x14ac:dyDescent="0.2">
      <c r="B156" s="105" t="s">
        <v>136</v>
      </c>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row>
    <row r="158" spans="2:36" x14ac:dyDescent="0.2">
      <c r="B158" s="87" t="s">
        <v>137</v>
      </c>
      <c r="C158" s="173"/>
      <c r="D158" s="173"/>
      <c r="E158" s="173"/>
      <c r="F158" s="85"/>
      <c r="H158" s="87" t="s">
        <v>138</v>
      </c>
      <c r="I158" s="173"/>
      <c r="J158" s="173"/>
      <c r="K158" s="173"/>
      <c r="L158" s="85"/>
      <c r="N158" s="87" t="s">
        <v>139</v>
      </c>
      <c r="O158" s="173"/>
      <c r="P158" s="173"/>
      <c r="Q158" s="173"/>
      <c r="R158" s="85"/>
      <c r="T158" s="87" t="s">
        <v>140</v>
      </c>
      <c r="U158" s="173"/>
      <c r="V158" s="173"/>
      <c r="W158" s="173"/>
      <c r="X158" s="85"/>
      <c r="Z158" s="87" t="s">
        <v>141</v>
      </c>
      <c r="AA158" s="173"/>
      <c r="AB158" s="173"/>
      <c r="AC158" s="173"/>
      <c r="AD158" s="85"/>
      <c r="AF158" s="87" t="s">
        <v>142</v>
      </c>
      <c r="AG158" s="173"/>
      <c r="AH158" s="173"/>
      <c r="AI158" s="173"/>
      <c r="AJ158" s="85"/>
    </row>
    <row r="159" spans="2:36" x14ac:dyDescent="0.2">
      <c r="B159" s="125"/>
      <c r="C159" s="171"/>
      <c r="D159" s="171"/>
      <c r="E159" s="171"/>
      <c r="F159" s="80"/>
      <c r="H159" s="125"/>
      <c r="I159" s="171"/>
      <c r="J159" s="171"/>
      <c r="K159" s="171"/>
      <c r="L159" s="80"/>
      <c r="N159" s="125"/>
      <c r="O159" s="171"/>
      <c r="P159" s="171"/>
      <c r="Q159" s="171"/>
      <c r="R159" s="80"/>
      <c r="T159" s="125"/>
      <c r="U159" s="171"/>
      <c r="V159" s="171"/>
      <c r="W159" s="171"/>
      <c r="X159" s="80"/>
      <c r="Z159" s="125"/>
      <c r="AA159" s="171"/>
      <c r="AB159" s="171"/>
      <c r="AC159" s="171"/>
      <c r="AD159" s="80"/>
      <c r="AF159" s="125"/>
      <c r="AG159" s="171"/>
      <c r="AH159" s="171"/>
      <c r="AI159" s="171"/>
      <c r="AJ159" s="80"/>
    </row>
    <row r="160" spans="2:36" ht="17" thickBot="1" x14ac:dyDescent="0.25">
      <c r="B160" s="79"/>
      <c r="C160" s="171" t="s">
        <v>143</v>
      </c>
      <c r="D160" s="171" t="s">
        <v>144</v>
      </c>
      <c r="E160" s="171"/>
      <c r="F160" s="80"/>
      <c r="H160" s="109" t="s">
        <v>145</v>
      </c>
      <c r="I160" s="57" t="s">
        <v>146</v>
      </c>
      <c r="J160" s="171"/>
      <c r="K160" s="171"/>
      <c r="L160" s="80"/>
      <c r="N160" s="109" t="s">
        <v>145</v>
      </c>
      <c r="O160" s="57" t="s">
        <v>146</v>
      </c>
      <c r="P160" s="171"/>
      <c r="Q160" s="171"/>
      <c r="R160" s="80"/>
      <c r="T160" s="109" t="s">
        <v>145</v>
      </c>
      <c r="U160" s="57" t="s">
        <v>146</v>
      </c>
      <c r="V160" s="171"/>
      <c r="W160" s="171"/>
      <c r="X160" s="80"/>
      <c r="Z160" s="109" t="s">
        <v>145</v>
      </c>
      <c r="AA160" s="57" t="s">
        <v>146</v>
      </c>
      <c r="AB160" s="171"/>
      <c r="AC160" s="171"/>
      <c r="AD160" s="80"/>
      <c r="AF160" s="109" t="s">
        <v>145</v>
      </c>
      <c r="AG160" s="57" t="s">
        <v>146</v>
      </c>
      <c r="AH160" s="171"/>
      <c r="AI160" s="171"/>
      <c r="AJ160" s="80"/>
    </row>
    <row r="161" spans="2:36" ht="18" thickTop="1" thickBot="1" x14ac:dyDescent="0.25">
      <c r="B161" s="107" t="s">
        <v>147</v>
      </c>
      <c r="C161" s="252">
        <f>E110</f>
        <v>575</v>
      </c>
      <c r="D161" s="253">
        <f>SUMIF(C169:C173,"Blad &amp; stengelmateriaal",D169:D173)</f>
        <v>575</v>
      </c>
      <c r="E161" s="171" t="s">
        <v>78</v>
      </c>
      <c r="F161" s="80"/>
      <c r="H161" s="89" t="s">
        <v>148</v>
      </c>
      <c r="I161" s="60" t="str">
        <f>Product0129[[#Headers],[Plantdeel]]</f>
        <v>Plantdeel</v>
      </c>
      <c r="J161" s="171"/>
      <c r="K161" s="256" t="str" cm="1">
        <f t="array" ref="K161">_xlfn.XLOOKUP($H$161,Product0129[[#All],[Producten]],Product0129[[#All],[Plantdeel]])</f>
        <v>Blad &amp; stengelmateriaal</v>
      </c>
      <c r="L161" s="80"/>
      <c r="N161" s="89" t="s">
        <v>149</v>
      </c>
      <c r="O161" s="60" t="str">
        <f>Product0129[[#Headers],[Plantdeel]]</f>
        <v>Plantdeel</v>
      </c>
      <c r="P161" s="171"/>
      <c r="Q161" s="256" t="str" cm="1">
        <f t="array" ref="Q161">_xlfn.XLOOKUP($N$161,Product0129[[#All],[Producten]],Product0129[[#All],[Plantdeel]])</f>
        <v>Pluis</v>
      </c>
      <c r="R161" s="80"/>
      <c r="T161" s="89" t="s">
        <v>150</v>
      </c>
      <c r="U161" s="60" t="str">
        <f>Product0129[[#Headers],[Plantdeel]]</f>
        <v>Plantdeel</v>
      </c>
      <c r="V161" s="171"/>
      <c r="W161" s="256" t="str" cm="1">
        <f t="array" ref="W161">_xlfn.XLOOKUP($T$161,Product0129[[#All],[Producten]],Product0129[[#All],[Plantdeel]])</f>
        <v>Blad &amp; stengelmateriaal</v>
      </c>
      <c r="X161" s="80"/>
      <c r="Z161" s="89" t="s">
        <v>151</v>
      </c>
      <c r="AA161" s="60" t="str">
        <f>Product0129[[#Headers],[Plantdeel]]</f>
        <v>Plantdeel</v>
      </c>
      <c r="AB161" s="171"/>
      <c r="AC161" s="256" t="str" cm="1">
        <f t="array" ref="AC161">_xlfn.XLOOKUP($Z$161,Product0129[[#All],[Producten]],Product0129[[#All],[Plantdeel]])</f>
        <v>Blad &amp; stengelmateriaal</v>
      </c>
      <c r="AD161" s="80"/>
      <c r="AF161" s="89" t="s">
        <v>152</v>
      </c>
      <c r="AG161" s="60" t="str">
        <f>Product0129[[#Headers],[Plantdeel]]</f>
        <v>Plantdeel</v>
      </c>
      <c r="AH161" s="171"/>
      <c r="AI161" s="256" t="str" cm="1">
        <f t="array" ref="AI161">_xlfn.XLOOKUP($AF$161,Product0129[[#All],[Producten]],Product0129[[#All],[Plantdeel]])</f>
        <v>Blad &amp; stengelmateriaal</v>
      </c>
      <c r="AJ161" s="80"/>
    </row>
    <row r="162" spans="2:36" ht="17" thickTop="1" x14ac:dyDescent="0.2">
      <c r="B162" s="107" t="s">
        <v>153</v>
      </c>
      <c r="C162" s="252">
        <f>E111</f>
        <v>25</v>
      </c>
      <c r="D162" s="253">
        <f>SUMIF(C169:C173,"Pluis",D169:D173)</f>
        <v>25</v>
      </c>
      <c r="E162" s="171" t="s">
        <v>78</v>
      </c>
      <c r="F162" s="80"/>
      <c r="H162" s="79"/>
      <c r="I162" s="171" t="str">
        <f>Product0129[[#Headers],[DS-gehalte]]</f>
        <v>DS-gehalte</v>
      </c>
      <c r="J162" s="171"/>
      <c r="K162" s="257" cm="1">
        <f t="array" ref="K162">_xlfn.XLOOKUP($H$161,Product0129[[#All],[Producten]],Product0129[[#All],[DS-gehalte]])</f>
        <v>0.9</v>
      </c>
      <c r="L162" s="80"/>
      <c r="N162" s="79"/>
      <c r="O162" s="171" t="str">
        <f>Product0129[[#Headers],[DS-gehalte]]</f>
        <v>DS-gehalte</v>
      </c>
      <c r="P162" s="171"/>
      <c r="Q162" s="257" cm="1">
        <f t="array" ref="Q162">_xlfn.XLOOKUP($N$161,Product0129[[#All],[Producten]],Product0129[[#All],[DS-gehalte]])</f>
        <v>0.98</v>
      </c>
      <c r="R162" s="80"/>
      <c r="T162" s="79"/>
      <c r="U162" s="171" t="str">
        <f>Product0129[[#Headers],[DS-gehalte]]</f>
        <v>DS-gehalte</v>
      </c>
      <c r="V162" s="171"/>
      <c r="W162" s="257" cm="1">
        <f t="array" ref="W162">_xlfn.XLOOKUP($T$161,Product0129[[#All],[Producten]],Product0129[[#All],[DS-gehalte]])</f>
        <v>0.8</v>
      </c>
      <c r="X162" s="80"/>
      <c r="Z162" s="79"/>
      <c r="AA162" s="171" t="str">
        <f>Product0129[[#Headers],[DS-gehalte]]</f>
        <v>DS-gehalte</v>
      </c>
      <c r="AB162" s="171"/>
      <c r="AC162" s="257" cm="1">
        <f t="array" ref="AC162">_xlfn.XLOOKUP($Z$161,Product0129[[#All],[Producten]],Product0129[[#All],[DS-gehalte]])</f>
        <v>0.97</v>
      </c>
      <c r="AD162" s="80"/>
      <c r="AF162" s="79"/>
      <c r="AG162" s="171" t="str">
        <f>Product0129[[#Headers],[DS-gehalte]]</f>
        <v>DS-gehalte</v>
      </c>
      <c r="AH162" s="171"/>
      <c r="AI162" s="257" cm="1">
        <f t="array" ref="AI162">_xlfn.XLOOKUP($AF$161,Product0129[[#All],[Producten]],Product0129[[#All],[DS-gehalte]])</f>
        <v>0.9</v>
      </c>
      <c r="AJ162" s="80"/>
    </row>
    <row r="163" spans="2:36" x14ac:dyDescent="0.2">
      <c r="B163" s="289" t="s">
        <v>47</v>
      </c>
      <c r="C163" s="422">
        <f>SUM(C161:C162)</f>
        <v>600</v>
      </c>
      <c r="D163" s="423">
        <f>SUM(D161:D162)</f>
        <v>600</v>
      </c>
      <c r="E163" s="57" t="s">
        <v>78</v>
      </c>
      <c r="F163" s="80"/>
      <c r="H163" s="79"/>
      <c r="I163" s="171" t="str">
        <f>Product0129[[#Headers],[Fractielengte '[mm']]]</f>
        <v>Fractielengte [mm]</v>
      </c>
      <c r="J163" s="171"/>
      <c r="K163" s="256" t="str" cm="1">
        <f t="array" ref="K163">_xlfn.XLOOKUP($H$161,Product0129[[#All],[Producten]],Product0129[[#All],[Fractielengte '[mm']]])</f>
        <v>5-50</v>
      </c>
      <c r="L163" s="80"/>
      <c r="N163" s="79"/>
      <c r="O163" s="171" t="str">
        <f>Product0129[[#Headers],[Fractielengte '[mm']]]</f>
        <v>Fractielengte [mm]</v>
      </c>
      <c r="P163" s="171"/>
      <c r="Q163" s="256" t="str" cm="1">
        <f t="array" ref="Q163">_xlfn.XLOOKUP($N$161,Product0129[[#All],[Producten]],Product0129[[#All],[Fractielengte '[mm']]])</f>
        <v>Gehele pluis</v>
      </c>
      <c r="R163" s="80"/>
      <c r="T163" s="79"/>
      <c r="U163" s="171" t="str">
        <f>Product0129[[#Headers],[Fractielengte '[mm']]]</f>
        <v>Fractielengte [mm]</v>
      </c>
      <c r="V163" s="171"/>
      <c r="W163" s="256" cm="1">
        <f t="array" ref="W163">_xlfn.XLOOKUP($T$161,Product0129[[#All],[Producten]],Product0129[[#All],[Fractielengte '[mm']]])</f>
        <v>700</v>
      </c>
      <c r="X163" s="80"/>
      <c r="Z163" s="79"/>
      <c r="AA163" s="171" t="str">
        <f>Product0129[[#Headers],[Fractielengte '[mm']]]</f>
        <v>Fractielengte [mm]</v>
      </c>
      <c r="AB163" s="171"/>
      <c r="AC163" s="256" t="str" cm="1">
        <f t="array" ref="AC163">_xlfn.XLOOKUP($Z$161,Product0129[[#All],[Producten]],Product0129[[#All],[Fractielengte '[mm']]])</f>
        <v>0,1-0,35</v>
      </c>
      <c r="AD163" s="80"/>
      <c r="AF163" s="79"/>
      <c r="AG163" s="171" t="str">
        <f>Product0129[[#Headers],[Fractielengte '[mm']]]</f>
        <v>Fractielengte [mm]</v>
      </c>
      <c r="AH163" s="171"/>
      <c r="AI163" s="256" t="str" cm="1">
        <f t="array" ref="AI163">_xlfn.XLOOKUP($AF$161,Product0129[[#All],[Producten]],Product0129[[#All],[Fractielengte '[mm']]])</f>
        <v>0,5-2,5</v>
      </c>
      <c r="AJ163" s="80"/>
    </row>
    <row r="164" spans="2:36" x14ac:dyDescent="0.2">
      <c r="B164" s="81"/>
      <c r="C164" s="172"/>
      <c r="D164" s="172"/>
      <c r="E164" s="172"/>
      <c r="F164" s="82"/>
      <c r="H164" s="79"/>
      <c r="I164" s="171" t="str">
        <f>Product0129[[#Headers],[Fractiediameter (mm)]]</f>
        <v>Fractiediameter (mm)</v>
      </c>
      <c r="J164" s="171"/>
      <c r="K164" s="256" t="str" cm="1">
        <f t="array" ref="K164">_xlfn.XLOOKUP($H$161,Product0129[[#All],[Producten]],Product0129[[#All],[Fractiediameter (mm)]])</f>
        <v>5-50</v>
      </c>
      <c r="L164" s="80"/>
      <c r="N164" s="79"/>
      <c r="O164" s="171" t="str">
        <f>Product0129[[#Headers],[Fractiediameter (mm)]]</f>
        <v>Fractiediameter (mm)</v>
      </c>
      <c r="P164" s="171"/>
      <c r="Q164" s="256" t="str" cm="1">
        <f t="array" ref="Q164">_xlfn.XLOOKUP($N$161,Product0129[[#All],[Producten]],Product0129[[#All],[Fractiediameter (mm)]])</f>
        <v>Gehele pluis</v>
      </c>
      <c r="R164" s="80"/>
      <c r="T164" s="79"/>
      <c r="U164" s="171" t="str">
        <f>Product0129[[#Headers],[Fractiediameter (mm)]]</f>
        <v>Fractiediameter (mm)</v>
      </c>
      <c r="V164" s="171"/>
      <c r="W164" s="256" t="str" cm="1">
        <f t="array" ref="W164">_xlfn.XLOOKUP($T$161,Product0129[[#All],[Producten]],Product0129[[#All],[Fractiediameter (mm)]])</f>
        <v>3-6</v>
      </c>
      <c r="X164" s="80"/>
      <c r="Z164" s="79"/>
      <c r="AA164" s="171" t="str">
        <f>Product0129[[#Headers],[Fractiediameter (mm)]]</f>
        <v>Fractiediameter (mm)</v>
      </c>
      <c r="AB164" s="171"/>
      <c r="AC164" s="256" t="str" cm="1">
        <f t="array" ref="AC164">_xlfn.XLOOKUP($Z$161,Product0129[[#All],[Producten]],Product0129[[#All],[Fractiediameter (mm)]])</f>
        <v>0,1</v>
      </c>
      <c r="AD164" s="80"/>
      <c r="AF164" s="79"/>
      <c r="AG164" s="171" t="str">
        <f>Product0129[[#Headers],[Fractiediameter (mm)]]</f>
        <v>Fractiediameter (mm)</v>
      </c>
      <c r="AH164" s="171"/>
      <c r="AI164" s="256" t="str" cm="1">
        <f t="array" ref="AI164">_xlfn.XLOOKUP($AF$161,Product0129[[#All],[Producten]],Product0129[[#All],[Fractiediameter (mm)]])</f>
        <v>0,1-0,25</v>
      </c>
      <c r="AJ164" s="80"/>
    </row>
    <row r="165" spans="2:36" x14ac:dyDescent="0.2">
      <c r="H165" s="79"/>
      <c r="I165" s="171"/>
      <c r="J165" s="171"/>
      <c r="K165" s="256"/>
      <c r="L165" s="80"/>
      <c r="N165" s="79"/>
      <c r="O165" s="171"/>
      <c r="P165" s="171"/>
      <c r="Q165" s="204"/>
      <c r="R165" s="80"/>
      <c r="T165" s="79"/>
      <c r="U165" s="171"/>
      <c r="V165" s="171"/>
      <c r="W165" s="204"/>
      <c r="X165" s="80"/>
      <c r="Z165" s="79"/>
      <c r="AA165" s="171"/>
      <c r="AB165" s="171"/>
      <c r="AC165" s="204"/>
      <c r="AD165" s="80"/>
      <c r="AF165" s="79"/>
      <c r="AG165" s="171"/>
      <c r="AH165" s="171"/>
      <c r="AI165" s="204"/>
      <c r="AJ165" s="80"/>
    </row>
    <row r="166" spans="2:36" ht="17" thickBot="1" x14ac:dyDescent="0.25">
      <c r="B166" s="86" t="s">
        <v>154</v>
      </c>
      <c r="C166" s="78"/>
      <c r="D166" s="111"/>
      <c r="E166" s="111"/>
      <c r="F166" s="112"/>
      <c r="H166" s="79"/>
      <c r="I166" s="90" t="s">
        <v>25</v>
      </c>
      <c r="J166" s="92" t="s">
        <v>26</v>
      </c>
      <c r="K166" s="171"/>
      <c r="L166" s="80"/>
      <c r="N166" s="79"/>
      <c r="O166" s="90" t="s">
        <v>25</v>
      </c>
      <c r="P166" s="92" t="s">
        <v>26</v>
      </c>
      <c r="Q166" s="171"/>
      <c r="R166" s="80"/>
      <c r="T166" s="79"/>
      <c r="U166" s="90" t="s">
        <v>25</v>
      </c>
      <c r="V166" s="92" t="s">
        <v>26</v>
      </c>
      <c r="W166" s="171"/>
      <c r="X166" s="80"/>
      <c r="Z166" s="79"/>
      <c r="AA166" s="90" t="s">
        <v>25</v>
      </c>
      <c r="AB166" s="92" t="s">
        <v>26</v>
      </c>
      <c r="AC166" s="171"/>
      <c r="AD166" s="80"/>
      <c r="AF166" s="79"/>
      <c r="AG166" s="90" t="s">
        <v>25</v>
      </c>
      <c r="AH166" s="92" t="s">
        <v>26</v>
      </c>
      <c r="AI166" s="171"/>
      <c r="AJ166" s="80"/>
    </row>
    <row r="167" spans="2:36" ht="18" thickTop="1" thickBot="1" x14ac:dyDescent="0.25">
      <c r="B167" s="108"/>
      <c r="C167" s="57"/>
      <c r="D167" s="325"/>
      <c r="E167" s="325"/>
      <c r="F167" s="326"/>
      <c r="H167" s="109" t="s">
        <v>155</v>
      </c>
      <c r="I167" s="69" t="s">
        <v>54</v>
      </c>
      <c r="J167" s="208"/>
      <c r="K167" s="171" cm="1">
        <f t="array" ref="K167">IF(ISBLANK(J167),INDEX(Product01[[#All],[Geen]:[Waarde MIN]],_xlfn.XMATCH(H161,Product01[[#All],[Producten]]),_xlfn.XMATCH('SCENARIO 1 - Gemiddeld'!I167,Product01[[#Headers],[Geen]:[Waarde MIN]])),J167)</f>
        <v>1200</v>
      </c>
      <c r="L167" s="80" t="s">
        <v>92</v>
      </c>
      <c r="N167" s="109" t="s">
        <v>155</v>
      </c>
      <c r="O167" s="69" t="s">
        <v>54</v>
      </c>
      <c r="P167" s="208"/>
      <c r="Q167" s="171" cm="1">
        <f t="array" ref="Q167">IF(ISBLANK(P167),INDEX(Product01[[#All],[Geen]:[Waarde MIN]],_xlfn.XMATCH(N161,Product01[[#All],[Producten]]),_xlfn.XMATCH('SCENARIO 1 - Gemiddeld'!O167,Product01[[#Headers],[Geen]:[Waarde MIN]])),P167)</f>
        <v>1290</v>
      </c>
      <c r="R167" s="80" t="s">
        <v>92</v>
      </c>
      <c r="T167" s="109" t="s">
        <v>155</v>
      </c>
      <c r="U167" s="69" t="s">
        <v>54</v>
      </c>
      <c r="V167" s="208"/>
      <c r="W167" s="171" cm="1">
        <f t="array" ref="W167">IF(ISBLANK(V167),INDEX(Product01[[#All],[Geen]:[Waarde MIN]],_xlfn.XMATCH(T161,Product01[[#All],[Producten]]),_xlfn.XMATCH('SCENARIO 1 - Gemiddeld'!U167,Product01[[#Headers],[Geen]:[Waarde MIN]])),V167)</f>
        <v>600</v>
      </c>
      <c r="X167" s="80" t="s">
        <v>92</v>
      </c>
      <c r="Z167" s="109" t="s">
        <v>155</v>
      </c>
      <c r="AA167" s="69" t="s">
        <v>54</v>
      </c>
      <c r="AB167" s="208"/>
      <c r="AC167" s="171" cm="1">
        <f t="array" ref="AC167">IF(ISBLANK(AB167),INDEX(Product01[[#All],[Geen]:[Waarde MIN]],_xlfn.XMATCH(Z161,Product01[[#All],[Producten]]),_xlfn.XMATCH('SCENARIO 1 - Gemiddeld'!AA167,Product01[[#Headers],[Geen]:[Waarde MIN]])),AB167)</f>
        <v>300</v>
      </c>
      <c r="AD167" s="80" t="s">
        <v>92</v>
      </c>
      <c r="AF167" s="109" t="s">
        <v>155</v>
      </c>
      <c r="AG167" s="69" t="s">
        <v>54</v>
      </c>
      <c r="AH167" s="208"/>
      <c r="AI167" s="171" cm="1">
        <f t="array" ref="AI167">IF(ISBLANK(AH167),INDEX(Product01[[#All],[Geen]:[Waarde MIN]],_xlfn.XMATCH(AF161,Product01[[#All],[Producten]]),_xlfn.XMATCH('SCENARIO 1 - Gemiddeld'!AG167,Product01[[#Headers],[Geen]:[Waarde MIN]])),AH167)</f>
        <v>200</v>
      </c>
      <c r="AJ167" s="80" t="s">
        <v>92</v>
      </c>
    </row>
    <row r="168" spans="2:36" ht="17" thickTop="1" x14ac:dyDescent="0.2">
      <c r="B168" s="109" t="s">
        <v>156</v>
      </c>
      <c r="C168" s="57" t="s">
        <v>157</v>
      </c>
      <c r="D168" s="325" t="s">
        <v>158</v>
      </c>
      <c r="E168" s="325" t="s">
        <v>159</v>
      </c>
      <c r="F168" s="326" t="s">
        <v>160</v>
      </c>
      <c r="H168" s="79"/>
      <c r="I168" s="171"/>
      <c r="J168" s="171"/>
      <c r="K168" s="171"/>
      <c r="L168" s="80"/>
      <c r="N168" s="79"/>
      <c r="O168" s="171"/>
      <c r="P168" s="171"/>
      <c r="Q168" s="171"/>
      <c r="R168" s="80"/>
      <c r="T168" s="79"/>
      <c r="U168" s="171"/>
      <c r="V168" s="171"/>
      <c r="W168" s="171"/>
      <c r="X168" s="80"/>
      <c r="Z168" s="79"/>
      <c r="AA168" s="171"/>
      <c r="AB168" s="171"/>
      <c r="AC168" s="171"/>
      <c r="AD168" s="80"/>
      <c r="AF168" s="79"/>
      <c r="AG168" s="171"/>
      <c r="AH168" s="171"/>
      <c r="AI168" s="171"/>
      <c r="AJ168" s="80"/>
    </row>
    <row r="169" spans="2:36" x14ac:dyDescent="0.2">
      <c r="B169" s="79" t="str">
        <f>H161</f>
        <v>Bouw - Inblaasisolatie</v>
      </c>
      <c r="C169" s="171" t="str">
        <f>K161</f>
        <v>Blad &amp; stengelmateriaal</v>
      </c>
      <c r="D169" s="254">
        <f>K180</f>
        <v>145</v>
      </c>
      <c r="E169" s="110">
        <f>K169</f>
        <v>183666.66666666666</v>
      </c>
      <c r="F169" s="113">
        <f>K177</f>
        <v>181309.61111111109</v>
      </c>
      <c r="H169" s="109" t="s">
        <v>161</v>
      </c>
      <c r="I169" s="123">
        <f>K167</f>
        <v>1200</v>
      </c>
      <c r="J169" s="57" t="s">
        <v>92</v>
      </c>
      <c r="K169" s="65">
        <f>I169*K228</f>
        <v>183666.66666666666</v>
      </c>
      <c r="L169" s="184" t="s">
        <v>49</v>
      </c>
      <c r="N169" s="109" t="s">
        <v>161</v>
      </c>
      <c r="O169" s="123">
        <f>Q167</f>
        <v>1290</v>
      </c>
      <c r="P169" s="57" t="s">
        <v>92</v>
      </c>
      <c r="Q169" s="65">
        <f>O169*Q228</f>
        <v>31262.755102040817</v>
      </c>
      <c r="R169" s="184" t="s">
        <v>49</v>
      </c>
      <c r="T169" s="109" t="s">
        <v>161</v>
      </c>
      <c r="U169" s="123">
        <f>W167</f>
        <v>600</v>
      </c>
      <c r="V169" s="57" t="s">
        <v>92</v>
      </c>
      <c r="W169" s="65">
        <f>U169*W228</f>
        <v>91833.333333333328</v>
      </c>
      <c r="X169" s="184" t="s">
        <v>49</v>
      </c>
      <c r="Z169" s="109" t="s">
        <v>161</v>
      </c>
      <c r="AA169" s="123">
        <f>AC167</f>
        <v>300</v>
      </c>
      <c r="AB169" s="57" t="s">
        <v>92</v>
      </c>
      <c r="AC169" s="65">
        <f>AA169*AC228</f>
        <v>36425.64432989691</v>
      </c>
      <c r="AD169" s="184" t="s">
        <v>49</v>
      </c>
      <c r="AF169" s="109" t="s">
        <v>161</v>
      </c>
      <c r="AG169" s="123">
        <f>AI167</f>
        <v>200</v>
      </c>
      <c r="AH169" s="57" t="s">
        <v>92</v>
      </c>
      <c r="AI169" s="65">
        <f>AG169*AI228</f>
        <v>28077.777777777777</v>
      </c>
      <c r="AJ169" s="184" t="s">
        <v>49</v>
      </c>
    </row>
    <row r="170" spans="2:36" x14ac:dyDescent="0.2">
      <c r="B170" s="79" t="str">
        <f>N161</f>
        <v>Bouw - Beton - Droge mortel - Versterker</v>
      </c>
      <c r="C170" s="171" t="str">
        <f>Q161</f>
        <v>Pluis</v>
      </c>
      <c r="D170" s="254">
        <f>Q180</f>
        <v>25</v>
      </c>
      <c r="E170" s="110">
        <f>Q169</f>
        <v>31262.755102040817</v>
      </c>
      <c r="F170" s="113">
        <f>Q177</f>
        <v>29229.05328798186</v>
      </c>
      <c r="H170" s="79"/>
      <c r="I170" s="262"/>
      <c r="J170" s="171"/>
      <c r="K170" s="55"/>
      <c r="L170" s="80"/>
      <c r="N170" s="79"/>
      <c r="O170" s="262"/>
      <c r="P170" s="171"/>
      <c r="Q170" s="55"/>
      <c r="R170" s="80"/>
      <c r="T170" s="79"/>
      <c r="U170" s="262"/>
      <c r="V170" s="171"/>
      <c r="W170" s="55"/>
      <c r="X170" s="80"/>
      <c r="Z170" s="79"/>
      <c r="AA170" s="262"/>
      <c r="AB170" s="171"/>
      <c r="AC170" s="55"/>
      <c r="AD170" s="80"/>
      <c r="AF170" s="79"/>
      <c r="AG170" s="262"/>
      <c r="AH170" s="171"/>
      <c r="AI170" s="55"/>
      <c r="AJ170" s="80"/>
    </row>
    <row r="171" spans="2:36" x14ac:dyDescent="0.2">
      <c r="B171" s="79" t="str">
        <f>T161</f>
        <v>Bouw - Isolatieplaat (Typha Board)</v>
      </c>
      <c r="C171" s="171" t="str">
        <f>W161</f>
        <v>Blad &amp; stengelmateriaal</v>
      </c>
      <c r="D171" s="254">
        <f>W180</f>
        <v>145</v>
      </c>
      <c r="E171" s="110">
        <f>W169</f>
        <v>91833.333333333328</v>
      </c>
      <c r="F171" s="113">
        <f>W177</f>
        <v>89476.277777777766</v>
      </c>
      <c r="H171" s="187" t="str">
        <f>H197</f>
        <v>Droogkosten</v>
      </c>
      <c r="I171" s="263">
        <f>IFERROR(K171/$K$228,0)</f>
        <v>0</v>
      </c>
      <c r="J171" s="104" t="s">
        <v>92</v>
      </c>
      <c r="K171" s="197">
        <f>K197</f>
        <v>0</v>
      </c>
      <c r="L171" s="185" t="s">
        <v>49</v>
      </c>
      <c r="N171" s="187" t="str">
        <f>N197</f>
        <v>Droogkosten</v>
      </c>
      <c r="O171" s="263">
        <f>IFERROR(Q171/$Q$228,0)</f>
        <v>51.461988304093559</v>
      </c>
      <c r="P171" s="104" t="s">
        <v>92</v>
      </c>
      <c r="Q171" s="197">
        <f>Q197</f>
        <v>1247.1655328798183</v>
      </c>
      <c r="R171" s="185" t="s">
        <v>49</v>
      </c>
      <c r="T171" s="187" t="str">
        <f>T197</f>
        <v>Droogkosten</v>
      </c>
      <c r="U171" s="263">
        <f>IFERROR(W171/$W$228,0)</f>
        <v>0</v>
      </c>
      <c r="V171" s="104" t="s">
        <v>92</v>
      </c>
      <c r="W171" s="197">
        <f>W197</f>
        <v>0</v>
      </c>
      <c r="X171" s="185" t="s">
        <v>49</v>
      </c>
      <c r="Z171" s="187" t="str">
        <f>Z197</f>
        <v>Droogkosten</v>
      </c>
      <c r="AA171" s="263">
        <f>IFERROR(AC171/$AC$228,0)</f>
        <v>38.302383639410451</v>
      </c>
      <c r="AB171" s="104" t="s">
        <v>92</v>
      </c>
      <c r="AC171" s="197">
        <f>AC197</f>
        <v>4650.6300114547576</v>
      </c>
      <c r="AD171" s="185" t="s">
        <v>49</v>
      </c>
      <c r="AF171" s="187" t="str">
        <f>AF197</f>
        <v>Droogkosten</v>
      </c>
      <c r="AG171" s="263">
        <f>IFERROR(AI171/$AI$228,0)</f>
        <v>0</v>
      </c>
      <c r="AH171" s="104" t="s">
        <v>92</v>
      </c>
      <c r="AI171" s="197">
        <f>AI197</f>
        <v>0</v>
      </c>
      <c r="AJ171" s="185" t="s">
        <v>49</v>
      </c>
    </row>
    <row r="172" spans="2:36" x14ac:dyDescent="0.2">
      <c r="B172" s="79" t="str">
        <f>Z161</f>
        <v xml:space="preserve">Plastics - Spuitgieten - Vuller </v>
      </c>
      <c r="C172" s="171" t="str">
        <f>AC161</f>
        <v>Blad &amp; stengelmateriaal</v>
      </c>
      <c r="D172" s="254">
        <f>AC180</f>
        <v>145</v>
      </c>
      <c r="E172" s="110">
        <f>AC169</f>
        <v>36425.64432989691</v>
      </c>
      <c r="F172" s="113">
        <f>AC177</f>
        <v>28108.742468499426</v>
      </c>
      <c r="H172" s="187" t="str">
        <f>H201</f>
        <v>Verwerkingsstap 1</v>
      </c>
      <c r="I172" s="263">
        <f>IFERROR(K172/$K$228,0)</f>
        <v>7.8947368421052637</v>
      </c>
      <c r="J172" s="104" t="s">
        <v>92</v>
      </c>
      <c r="K172" s="197">
        <f>K210</f>
        <v>1208.3333333333333</v>
      </c>
      <c r="L172" s="185" t="s">
        <v>49</v>
      </c>
      <c r="N172" s="187" t="str">
        <f>N201</f>
        <v>Verwerkingsstap 1</v>
      </c>
      <c r="O172" s="263">
        <f>IFERROR(Q172/$Q$228,0)</f>
        <v>21.05263157894737</v>
      </c>
      <c r="P172" s="104" t="s">
        <v>92</v>
      </c>
      <c r="Q172" s="197">
        <f>Q210</f>
        <v>510.20408163265307</v>
      </c>
      <c r="R172" s="185" t="s">
        <v>49</v>
      </c>
      <c r="T172" s="187" t="str">
        <f>T201</f>
        <v>Verwerkingsstap 1</v>
      </c>
      <c r="U172" s="263">
        <f t="shared" ref="U172:U175" si="2">IFERROR(W172/$W$228,0)</f>
        <v>7.8947368421052637</v>
      </c>
      <c r="V172" s="104" t="s">
        <v>92</v>
      </c>
      <c r="W172" s="197">
        <f>W210</f>
        <v>1208.3333333333333</v>
      </c>
      <c r="X172" s="185" t="s">
        <v>49</v>
      </c>
      <c r="Z172" s="187" t="str">
        <f>Z201</f>
        <v>Verwerkingsstap 1</v>
      </c>
      <c r="AA172" s="263">
        <f t="shared" ref="AA172:AA175" si="3">IFERROR(AC172/$AC$228,0)</f>
        <v>8.310249307479225</v>
      </c>
      <c r="AB172" s="104" t="s">
        <v>92</v>
      </c>
      <c r="AC172" s="197">
        <f>AC210</f>
        <v>1009.0206185567012</v>
      </c>
      <c r="AD172" s="185" t="s">
        <v>49</v>
      </c>
      <c r="AF172" s="187" t="str">
        <f>AF201</f>
        <v>Verwerkingsstap 1</v>
      </c>
      <c r="AG172" s="263">
        <f t="shared" ref="AG172:AG175" si="4">IFERROR(AI172/$AI$228,0)</f>
        <v>8.3102493074792232</v>
      </c>
      <c r="AH172" s="104" t="s">
        <v>92</v>
      </c>
      <c r="AI172" s="197">
        <f>AI210</f>
        <v>1166.6666666666665</v>
      </c>
      <c r="AJ172" s="185" t="s">
        <v>49</v>
      </c>
    </row>
    <row r="173" spans="2:36" ht="17" thickBot="1" x14ac:dyDescent="0.25">
      <c r="B173" s="114" t="str">
        <f>AF161</f>
        <v>Papier - Massief karton - Vuller</v>
      </c>
      <c r="C173" s="115" t="str">
        <f>AI161</f>
        <v>Blad &amp; stengelmateriaal</v>
      </c>
      <c r="D173" s="255">
        <f>AI180</f>
        <v>140</v>
      </c>
      <c r="E173" s="116">
        <f>AI169</f>
        <v>28077.777777777777</v>
      </c>
      <c r="F173" s="117">
        <f>AI177</f>
        <v>24644.9</v>
      </c>
      <c r="H173" s="187" t="str">
        <f>H214</f>
        <v>Verwerkingsstap 2</v>
      </c>
      <c r="I173" s="263">
        <f>IFERROR(K173/$K$228,0)</f>
        <v>0</v>
      </c>
      <c r="J173" s="104" t="s">
        <v>92</v>
      </c>
      <c r="K173" s="197">
        <f>K223</f>
        <v>0</v>
      </c>
      <c r="L173" s="185" t="s">
        <v>49</v>
      </c>
      <c r="N173" s="187" t="str">
        <f>N214</f>
        <v>Verwerkingsstap 2</v>
      </c>
      <c r="O173" s="263">
        <f>IFERROR(Q173/$Q$228,0)</f>
        <v>0</v>
      </c>
      <c r="P173" s="104" t="s">
        <v>92</v>
      </c>
      <c r="Q173" s="197">
        <f>Q223</f>
        <v>0</v>
      </c>
      <c r="R173" s="185" t="s">
        <v>49</v>
      </c>
      <c r="T173" s="187" t="str">
        <f>T214</f>
        <v>Verwerkingsstap 2</v>
      </c>
      <c r="U173" s="263">
        <f t="shared" si="2"/>
        <v>0</v>
      </c>
      <c r="V173" s="104" t="s">
        <v>92</v>
      </c>
      <c r="W173" s="197">
        <f>W223</f>
        <v>0</v>
      </c>
      <c r="X173" s="185" t="s">
        <v>49</v>
      </c>
      <c r="Z173" s="187" t="str">
        <f>Z214</f>
        <v>Verwerkingsstap 2</v>
      </c>
      <c r="AA173" s="263">
        <f t="shared" si="3"/>
        <v>7.8947368421052628</v>
      </c>
      <c r="AB173" s="104" t="s">
        <v>92</v>
      </c>
      <c r="AC173" s="197">
        <f>AC223</f>
        <v>958.56958762886597</v>
      </c>
      <c r="AD173" s="185" t="s">
        <v>49</v>
      </c>
      <c r="AF173" s="187" t="str">
        <f>AF214</f>
        <v>Verwerkingsstap 2</v>
      </c>
      <c r="AG173" s="263">
        <f t="shared" si="4"/>
        <v>7.8947368421052628</v>
      </c>
      <c r="AH173" s="104" t="s">
        <v>92</v>
      </c>
      <c r="AI173" s="197">
        <f>AI223</f>
        <v>1108.3333333333333</v>
      </c>
      <c r="AJ173" s="185" t="s">
        <v>49</v>
      </c>
    </row>
    <row r="174" spans="2:36" ht="17" thickTop="1" x14ac:dyDescent="0.2">
      <c r="B174" s="118" t="s">
        <v>47</v>
      </c>
      <c r="C174" s="119"/>
      <c r="D174" s="120"/>
      <c r="E174" s="121">
        <f>SUM(E169:E173)</f>
        <v>371266.17720971548</v>
      </c>
      <c r="F174" s="122">
        <f>SUM(F169:F173)</f>
        <v>352768.58464537014</v>
      </c>
      <c r="H174" s="187" t="str">
        <f>H183</f>
        <v xml:space="preserve">Afvoerkosten restproduct </v>
      </c>
      <c r="I174" s="263">
        <f>IFERROR(K174/$K$228,0)</f>
        <v>0.52631578947368529</v>
      </c>
      <c r="J174" s="104" t="s">
        <v>92</v>
      </c>
      <c r="K174" s="178">
        <f>SUM(K225,K212,K199)*K183</f>
        <v>80.555555555555713</v>
      </c>
      <c r="L174" s="185" t="s">
        <v>49</v>
      </c>
      <c r="N174" s="187" t="str">
        <f>N183</f>
        <v xml:space="preserve">Afvoerkosten restproduct </v>
      </c>
      <c r="O174" s="263">
        <f>IFERROR(Q174/$Q$228,0)</f>
        <v>0.52631578947368474</v>
      </c>
      <c r="P174" s="104" t="s">
        <v>92</v>
      </c>
      <c r="Q174" s="178">
        <f>SUM(Q225,Q212,Q199)*Q183</f>
        <v>12.75510204081634</v>
      </c>
      <c r="R174" s="185" t="s">
        <v>49</v>
      </c>
      <c r="T174" s="187" t="str">
        <f>T183</f>
        <v xml:space="preserve">Afvoerkosten restproduct </v>
      </c>
      <c r="U174" s="263">
        <f t="shared" si="2"/>
        <v>0.52631578947368529</v>
      </c>
      <c r="V174" s="104" t="s">
        <v>92</v>
      </c>
      <c r="W174" s="178">
        <f>SUM(W225,W212,W199)*W183</f>
        <v>80.555555555555713</v>
      </c>
      <c r="X174" s="185" t="s">
        <v>49</v>
      </c>
      <c r="Z174" s="187" t="str">
        <f>Z183</f>
        <v xml:space="preserve">Afvoerkosten restproduct </v>
      </c>
      <c r="AA174" s="263">
        <f t="shared" si="3"/>
        <v>2.3114804555247765</v>
      </c>
      <c r="AB174" s="104" t="s">
        <v>92</v>
      </c>
      <c r="AC174" s="178">
        <f>SUM(AC225,AC212,AC199)*AC183</f>
        <v>280.65721649484533</v>
      </c>
      <c r="AD174" s="185" t="s">
        <v>49</v>
      </c>
      <c r="AF174" s="187" t="str">
        <f>AF183</f>
        <v xml:space="preserve">Afvoerkosten restproduct </v>
      </c>
      <c r="AG174" s="263">
        <f t="shared" si="4"/>
        <v>1.0803324099722986</v>
      </c>
      <c r="AH174" s="104" t="s">
        <v>92</v>
      </c>
      <c r="AI174" s="178">
        <f>SUM(AI225,AI212,AI199)*AI183</f>
        <v>151.66666666666657</v>
      </c>
      <c r="AJ174" s="185" t="s">
        <v>49</v>
      </c>
    </row>
    <row r="175" spans="2:36" x14ac:dyDescent="0.2">
      <c r="H175" s="187" t="s">
        <v>162</v>
      </c>
      <c r="I175" s="263">
        <f>IFERROR(K175/$K$228,0)</f>
        <v>6.9789473684210526</v>
      </c>
      <c r="J175" s="104" t="s">
        <v>92</v>
      </c>
      <c r="K175" s="197">
        <f>SUM(K193,K206,K219,K232)</f>
        <v>1068.1666666666665</v>
      </c>
      <c r="L175" s="185" t="s">
        <v>49</v>
      </c>
      <c r="N175" s="187" t="s">
        <v>162</v>
      </c>
      <c r="O175" s="263">
        <f>IFERROR(Q175/$Q$228,0)</f>
        <v>10.876023391812865</v>
      </c>
      <c r="P175" s="104" t="s">
        <v>92</v>
      </c>
      <c r="Q175" s="197">
        <f>SUM(Q193,Q206,Q219,Q232)</f>
        <v>263.57709750566892</v>
      </c>
      <c r="R175" s="185" t="s">
        <v>49</v>
      </c>
      <c r="T175" s="187" t="s">
        <v>162</v>
      </c>
      <c r="U175" s="263">
        <f t="shared" si="2"/>
        <v>6.9789473684210526</v>
      </c>
      <c r="V175" s="104" t="s">
        <v>92</v>
      </c>
      <c r="W175" s="197">
        <f>SUM(W193,W206,W219,W232)</f>
        <v>1068.1666666666665</v>
      </c>
      <c r="X175" s="185" t="s">
        <v>49</v>
      </c>
      <c r="Z175" s="187" t="s">
        <v>162</v>
      </c>
      <c r="AA175" s="263">
        <f t="shared" si="3"/>
        <v>11.678786635203995</v>
      </c>
      <c r="AB175" s="104" t="s">
        <v>92</v>
      </c>
      <c r="AC175" s="197">
        <f>SUM(AC193,AC206,AC219,AC232)</f>
        <v>1418.024427262314</v>
      </c>
      <c r="AD175" s="185" t="s">
        <v>49</v>
      </c>
      <c r="AF175" s="187" t="s">
        <v>162</v>
      </c>
      <c r="AG175" s="263">
        <f t="shared" si="4"/>
        <v>7.1673130193905807</v>
      </c>
      <c r="AH175" s="104" t="s">
        <v>92</v>
      </c>
      <c r="AI175" s="197">
        <f>SUM(AI193,AI206,AI219,AI232)</f>
        <v>1006.211111111111</v>
      </c>
      <c r="AJ175" s="185" t="s">
        <v>49</v>
      </c>
    </row>
    <row r="176" spans="2:36" ht="19" x14ac:dyDescent="0.35">
      <c r="H176" s="109" t="s">
        <v>121</v>
      </c>
      <c r="I176" s="261">
        <f>SUM(I171:I175)</f>
        <v>15.400000000000002</v>
      </c>
      <c r="J176" s="57" t="s">
        <v>92</v>
      </c>
      <c r="K176" s="261">
        <f>SUM(K171:K175)</f>
        <v>2357.0555555555557</v>
      </c>
      <c r="L176" s="184" t="s">
        <v>49</v>
      </c>
      <c r="N176" s="109" t="s">
        <v>121</v>
      </c>
      <c r="O176" s="261">
        <f>SUM(O171:O175)</f>
        <v>83.916959064327472</v>
      </c>
      <c r="P176" s="57" t="s">
        <v>92</v>
      </c>
      <c r="Q176" s="261">
        <f>SUM(Q171:Q175)</f>
        <v>2033.7018140589566</v>
      </c>
      <c r="R176" s="184" t="s">
        <v>49</v>
      </c>
      <c r="T176" s="109" t="s">
        <v>121</v>
      </c>
      <c r="U176" s="261">
        <f>SUM(U171:U175)</f>
        <v>15.400000000000002</v>
      </c>
      <c r="V176" s="57" t="s">
        <v>92</v>
      </c>
      <c r="W176" s="261">
        <f>SUM(W171:W175)</f>
        <v>2357.0555555555557</v>
      </c>
      <c r="X176" s="184" t="s">
        <v>49</v>
      </c>
      <c r="Z176" s="109" t="s">
        <v>121</v>
      </c>
      <c r="AA176" s="261">
        <f>SUM(AA171:AA175)</f>
        <v>68.4976368797237</v>
      </c>
      <c r="AB176" s="57" t="s">
        <v>92</v>
      </c>
      <c r="AC176" s="261">
        <f>SUM(AC171:AC175)</f>
        <v>8316.901861397484</v>
      </c>
      <c r="AD176" s="184" t="s">
        <v>49</v>
      </c>
      <c r="AF176" s="109" t="s">
        <v>121</v>
      </c>
      <c r="AG176" s="261">
        <f>SUM(AG171:AG175)</f>
        <v>24.452631578947365</v>
      </c>
      <c r="AH176" s="57" t="s">
        <v>92</v>
      </c>
      <c r="AI176" s="261">
        <f>SUM(AI171:AI175)</f>
        <v>3432.8777777777777</v>
      </c>
      <c r="AJ176" s="184" t="s">
        <v>49</v>
      </c>
    </row>
    <row r="177" spans="2:36" x14ac:dyDescent="0.2">
      <c r="H177" s="109" t="s">
        <v>163</v>
      </c>
      <c r="I177" s="65">
        <f>I169-I176</f>
        <v>1184.5999999999999</v>
      </c>
      <c r="J177" s="57" t="s">
        <v>92</v>
      </c>
      <c r="K177" s="65">
        <f>K169-K176</f>
        <v>181309.61111111109</v>
      </c>
      <c r="L177" s="184" t="s">
        <v>49</v>
      </c>
      <c r="N177" s="109" t="s">
        <v>163</v>
      </c>
      <c r="O177" s="65">
        <f>O169-O176</f>
        <v>1206.0830409356724</v>
      </c>
      <c r="P177" s="57" t="s">
        <v>92</v>
      </c>
      <c r="Q177" s="65">
        <f>Q169-Q176</f>
        <v>29229.05328798186</v>
      </c>
      <c r="R177" s="184" t="s">
        <v>49</v>
      </c>
      <c r="T177" s="109" t="s">
        <v>163</v>
      </c>
      <c r="U177" s="65">
        <f>U169-U176</f>
        <v>584.6</v>
      </c>
      <c r="V177" s="57" t="s">
        <v>92</v>
      </c>
      <c r="W177" s="65">
        <f>W169-W176</f>
        <v>89476.277777777766</v>
      </c>
      <c r="X177" s="184" t="s">
        <v>49</v>
      </c>
      <c r="Z177" s="109" t="s">
        <v>163</v>
      </c>
      <c r="AA177" s="65">
        <f>AA169-AA176</f>
        <v>231.5023631202763</v>
      </c>
      <c r="AB177" s="57" t="s">
        <v>92</v>
      </c>
      <c r="AC177" s="65">
        <f>AC169-AC176</f>
        <v>28108.742468499426</v>
      </c>
      <c r="AD177" s="184" t="s">
        <v>49</v>
      </c>
      <c r="AF177" s="109" t="s">
        <v>163</v>
      </c>
      <c r="AG177" s="65">
        <f>AG169-AG176</f>
        <v>175.54736842105262</v>
      </c>
      <c r="AH177" s="57" t="s">
        <v>92</v>
      </c>
      <c r="AI177" s="65">
        <f>AI169-AI176</f>
        <v>24644.9</v>
      </c>
      <c r="AJ177" s="184" t="s">
        <v>49</v>
      </c>
    </row>
    <row r="178" spans="2:36" x14ac:dyDescent="0.2">
      <c r="H178" s="79"/>
      <c r="I178" s="171"/>
      <c r="J178" s="171"/>
      <c r="K178" s="262"/>
      <c r="L178" s="80"/>
      <c r="N178" s="79"/>
      <c r="O178" s="171"/>
      <c r="P178" s="171"/>
      <c r="Q178" s="171"/>
      <c r="R178" s="80"/>
      <c r="T178" s="79"/>
      <c r="U178" s="171"/>
      <c r="V178" s="171"/>
      <c r="W178" s="171"/>
      <c r="X178" s="80"/>
      <c r="Z178" s="79"/>
      <c r="AA178" s="171"/>
      <c r="AB178" s="171"/>
      <c r="AC178" s="171"/>
      <c r="AD178" s="80"/>
      <c r="AF178" s="79"/>
      <c r="AG178" s="171"/>
      <c r="AH178" s="171"/>
      <c r="AI178" s="171"/>
      <c r="AJ178" s="80"/>
    </row>
    <row r="179" spans="2:36" x14ac:dyDescent="0.2">
      <c r="H179" s="109" t="s">
        <v>164</v>
      </c>
      <c r="I179" s="90" t="s">
        <v>25</v>
      </c>
      <c r="J179" s="92" t="s">
        <v>26</v>
      </c>
      <c r="K179" s="171"/>
      <c r="L179" s="80"/>
      <c r="N179" s="109" t="s">
        <v>164</v>
      </c>
      <c r="O179" s="90" t="s">
        <v>25</v>
      </c>
      <c r="P179" s="92" t="s">
        <v>26</v>
      </c>
      <c r="Q179" s="171"/>
      <c r="R179" s="80"/>
      <c r="T179" s="109" t="s">
        <v>164</v>
      </c>
      <c r="U179" s="90" t="s">
        <v>25</v>
      </c>
      <c r="V179" s="92" t="s">
        <v>26</v>
      </c>
      <c r="W179" s="171"/>
      <c r="X179" s="80"/>
      <c r="Z179" s="109" t="s">
        <v>164</v>
      </c>
      <c r="AA179" s="90" t="s">
        <v>25</v>
      </c>
      <c r="AB179" s="92" t="s">
        <v>26</v>
      </c>
      <c r="AC179" s="171"/>
      <c r="AD179" s="80"/>
      <c r="AF179" s="109" t="s">
        <v>164</v>
      </c>
      <c r="AG179" s="90" t="s">
        <v>25</v>
      </c>
      <c r="AH179" s="92" t="s">
        <v>26</v>
      </c>
      <c r="AI179" s="171"/>
      <c r="AJ179" s="80"/>
    </row>
    <row r="180" spans="2:36" ht="17" thickBot="1" x14ac:dyDescent="0.25">
      <c r="C180" s="421"/>
      <c r="H180" s="79" t="s">
        <v>80</v>
      </c>
      <c r="I180" s="67"/>
      <c r="J180" s="62">
        <v>145</v>
      </c>
      <c r="K180" s="220">
        <f>IF(H161="Geen",0,J180)</f>
        <v>145</v>
      </c>
      <c r="L180" s="80" t="s">
        <v>81</v>
      </c>
      <c r="N180" s="79" t="s">
        <v>80</v>
      </c>
      <c r="O180" s="67"/>
      <c r="P180" s="62">
        <v>25</v>
      </c>
      <c r="Q180" s="192">
        <f>IF(N161="Geen",0,P180)</f>
        <v>25</v>
      </c>
      <c r="R180" s="80" t="s">
        <v>81</v>
      </c>
      <c r="T180" s="79" t="s">
        <v>80</v>
      </c>
      <c r="U180" s="67"/>
      <c r="V180" s="62">
        <v>145</v>
      </c>
      <c r="W180" s="192">
        <f>IF(T161="Geen",0,V180)</f>
        <v>145</v>
      </c>
      <c r="X180" s="80" t="s">
        <v>81</v>
      </c>
      <c r="Z180" s="79" t="s">
        <v>80</v>
      </c>
      <c r="AA180" s="67"/>
      <c r="AB180" s="62">
        <v>145</v>
      </c>
      <c r="AC180" s="192">
        <f>IF(Z161="Geen",0,AB180)</f>
        <v>145</v>
      </c>
      <c r="AD180" s="80" t="s">
        <v>81</v>
      </c>
      <c r="AF180" s="79" t="s">
        <v>80</v>
      </c>
      <c r="AG180" s="67"/>
      <c r="AH180" s="62">
        <v>140</v>
      </c>
      <c r="AI180" s="192">
        <f>IF(AF161="Geen",0,AH180)</f>
        <v>140</v>
      </c>
      <c r="AJ180" s="80" t="s">
        <v>81</v>
      </c>
    </row>
    <row r="181" spans="2:36" ht="18" thickTop="1" thickBot="1" x14ac:dyDescent="0.25">
      <c r="E181" s="28"/>
      <c r="H181" s="79" t="str">
        <f>'DATA - Variabelen &amp; waarden'!$B$274</f>
        <v>Drogestofgehalte input (feb/mrt)</v>
      </c>
      <c r="I181" s="69" t="s">
        <v>54</v>
      </c>
      <c r="J181" s="70"/>
      <c r="K181" s="66" cm="1">
        <f t="array" ref="K181">IF($O$109="Ja",$Q$115,IF(ISBLANK(J181),INDEX(VoorDroog[[#All],[Geen]:[Waarde MIN]],_xlfn.XMATCH('SCENARIO 1 - Gemiddeld'!H181,VoorDroog[[#All],[Voordrogen]]),_xlfn.XMATCH('SCENARIO 1 - Gemiddeld'!I181,VoorDroog[[#Headers],[Geen]:[Waarde MIN]])),J181))</f>
        <v>0.9</v>
      </c>
      <c r="L181" s="80" t="s">
        <v>83</v>
      </c>
      <c r="N181" s="79" t="str">
        <f>'DATA - Variabelen &amp; waarden'!$B$274</f>
        <v>Drogestofgehalte input (feb/mrt)</v>
      </c>
      <c r="O181" s="69" t="s">
        <v>54</v>
      </c>
      <c r="P181" s="70"/>
      <c r="Q181" s="66" cm="1">
        <f t="array" ref="Q181">IF($O$109="Ja",$Q$115,IF(ISBLANK(P181),INDEX(VoorDroog[[#All],[Geen]:[Waarde MIN]],_xlfn.XMATCH('SCENARIO 1 - Gemiddeld'!N181,VoorDroog[[#All],[Voordrogen]]),_xlfn.XMATCH('SCENARIO 1 - Gemiddeld'!O181,VoorDroog[[#Headers],[Geen]:[Waarde MIN]])),P181))</f>
        <v>0.9</v>
      </c>
      <c r="R181" s="80" t="s">
        <v>83</v>
      </c>
      <c r="T181" s="79" t="str">
        <f>'DATA - Variabelen &amp; waarden'!$B$274</f>
        <v>Drogestofgehalte input (feb/mrt)</v>
      </c>
      <c r="U181" s="69" t="s">
        <v>54</v>
      </c>
      <c r="V181" s="70"/>
      <c r="W181" s="66" cm="1">
        <f t="array" ref="W181">IF($O$109="Ja",$Q$115,IF(ISBLANK(V181),INDEX(VoorDroog[[#All],[Geen]:[Waarde MIN]],_xlfn.XMATCH('SCENARIO 1 - Gemiddeld'!T181,VoorDroog[[#All],[Voordrogen]]),_xlfn.XMATCH('SCENARIO 1 - Gemiddeld'!U181,VoorDroog[[#Headers],[Geen]:[Waarde MIN]])),V181))</f>
        <v>0.9</v>
      </c>
      <c r="X181" s="80" t="s">
        <v>83</v>
      </c>
      <c r="Z181" s="79" t="str">
        <f>'DATA - Variabelen &amp; waarden'!$B$274</f>
        <v>Drogestofgehalte input (feb/mrt)</v>
      </c>
      <c r="AA181" s="69" t="s">
        <v>54</v>
      </c>
      <c r="AB181" s="70"/>
      <c r="AC181" s="66" cm="1">
        <f t="array" ref="AC181">IF($O$109="Ja",$Q$115,IF(ISBLANK(AB181),INDEX(VoorDroog[[#All],[Geen]:[Waarde MIN]],_xlfn.XMATCH('SCENARIO 1 - Gemiddeld'!Z181,VoorDroog[[#All],[Voordrogen]]),_xlfn.XMATCH('SCENARIO 1 - Gemiddeld'!AA181,VoorDroog[[#Headers],[Geen]:[Waarde MIN]])),AB181))</f>
        <v>0.9</v>
      </c>
      <c r="AD181" s="80" t="s">
        <v>83</v>
      </c>
      <c r="AF181" s="79" t="str">
        <f>'DATA - Variabelen &amp; waarden'!$B$274</f>
        <v>Drogestofgehalte input (feb/mrt)</v>
      </c>
      <c r="AG181" s="69" t="s">
        <v>54</v>
      </c>
      <c r="AH181" s="70"/>
      <c r="AI181" s="66" cm="1">
        <f t="array" ref="AI181">IF($O$109="Ja",$Q$115,IF(ISBLANK(AH181),INDEX(VoorDroog[[#All],[Geen]:[Waarde MIN]],_xlfn.XMATCH('SCENARIO 1 - Gemiddeld'!AF181,VoorDroog[[#All],[Voordrogen]]),_xlfn.XMATCH('SCENARIO 1 - Gemiddeld'!AG181,VoorDroog[[#Headers],[Geen]:[Waarde MIN]])),AH181))</f>
        <v>0.9</v>
      </c>
      <c r="AJ181" s="80" t="s">
        <v>83</v>
      </c>
    </row>
    <row r="182" spans="2:36" ht="18" thickTop="1" thickBot="1" x14ac:dyDescent="0.25">
      <c r="H182" s="207" t="s">
        <v>85</v>
      </c>
      <c r="I182" s="195"/>
      <c r="J182" s="195"/>
      <c r="K182" s="220">
        <f>IFERROR(K180/K181,0)</f>
        <v>161.11111111111111</v>
      </c>
      <c r="L182" s="190" t="s">
        <v>86</v>
      </c>
      <c r="N182" s="187" t="s">
        <v>85</v>
      </c>
      <c r="O182" s="104"/>
      <c r="P182" s="104"/>
      <c r="Q182" s="215">
        <f>IFERROR(Q180/Q181,0)</f>
        <v>27.777777777777779</v>
      </c>
      <c r="R182" s="185" t="s">
        <v>86</v>
      </c>
      <c r="T182" s="187" t="s">
        <v>85</v>
      </c>
      <c r="U182" s="104"/>
      <c r="V182" s="104"/>
      <c r="W182" s="215">
        <f>IFERROR(W180/W181,0)</f>
        <v>161.11111111111111</v>
      </c>
      <c r="X182" s="185" t="s">
        <v>86</v>
      </c>
      <c r="Z182" s="187" t="s">
        <v>85</v>
      </c>
      <c r="AA182" s="104"/>
      <c r="AB182" s="104"/>
      <c r="AC182" s="215">
        <f>IFERROR(AC180/AC181,0)</f>
        <v>161.11111111111111</v>
      </c>
      <c r="AD182" s="185" t="s">
        <v>86</v>
      </c>
      <c r="AF182" s="187" t="s">
        <v>85</v>
      </c>
      <c r="AG182" s="104"/>
      <c r="AH182" s="104"/>
      <c r="AI182" s="215">
        <f>IFERROR(AI180/AI181,0)</f>
        <v>155.55555555555554</v>
      </c>
      <c r="AJ182" s="185" t="s">
        <v>86</v>
      </c>
    </row>
    <row r="183" spans="2:36" ht="18" thickTop="1" thickBot="1" x14ac:dyDescent="0.25">
      <c r="D183" s="28"/>
      <c r="E183" s="28"/>
      <c r="H183" s="358" t="s">
        <v>165</v>
      </c>
      <c r="I183" s="69" t="s">
        <v>54</v>
      </c>
      <c r="J183" s="242"/>
      <c r="K183" s="68" cm="1">
        <f t="array" ref="K183">IF(ISBLANK(J183),_xlfn.XLOOKUP(I183,Tabel37[[#Headers],[Geen]:[Waarde MIN]],'DATA - Variabelen &amp; waarden'!$D$383:$G$383,"Selecteer waarde"),J183)</f>
        <v>10</v>
      </c>
      <c r="L183" s="190" t="s">
        <v>92</v>
      </c>
      <c r="N183" s="199" t="s">
        <v>165</v>
      </c>
      <c r="O183" s="69" t="s">
        <v>54</v>
      </c>
      <c r="P183" s="242"/>
      <c r="Q183" s="68" cm="1">
        <f t="array" ref="Q183">IF(ISBLANK(P183),_xlfn.XLOOKUP(O183,Tabel37[[#Headers],[Geen]:[Waarde MIN]],'DATA - Variabelen &amp; waarden'!$D$383:$G$383,"Selecteer waarde"),P183)</f>
        <v>10</v>
      </c>
      <c r="R183" s="190" t="s">
        <v>92</v>
      </c>
      <c r="T183" s="199" t="s">
        <v>165</v>
      </c>
      <c r="U183" s="69" t="s">
        <v>54</v>
      </c>
      <c r="V183" s="242"/>
      <c r="W183" s="68" cm="1">
        <f t="array" ref="W183">IF(ISBLANK(V183),_xlfn.XLOOKUP(U183,Tabel37[[#Headers],[Geen]:[Waarde MIN]],'DATA - Variabelen &amp; waarden'!$D$383:$G$383,"Selecteer waarde"),V183)</f>
        <v>10</v>
      </c>
      <c r="X183" s="190" t="s">
        <v>92</v>
      </c>
      <c r="Z183" s="199" t="s">
        <v>165</v>
      </c>
      <c r="AA183" s="69" t="s">
        <v>54</v>
      </c>
      <c r="AB183" s="242"/>
      <c r="AC183" s="68" cm="1">
        <f t="array" ref="AC183">IF(ISBLANK(AB183),_xlfn.XLOOKUP(AA183,Tabel37[[#Headers],[Geen]:[Waarde MIN]],'DATA - Variabelen &amp; waarden'!$D$383:$G$383,"Selecteer waarde"),AB183)</f>
        <v>10</v>
      </c>
      <c r="AD183" s="190" t="s">
        <v>92</v>
      </c>
      <c r="AF183" s="199" t="s">
        <v>165</v>
      </c>
      <c r="AG183" s="69" t="s">
        <v>54</v>
      </c>
      <c r="AH183" s="242"/>
      <c r="AI183" s="68" cm="1">
        <f t="array" ref="AI183">IF(ISBLANK(AH183),_xlfn.XLOOKUP(AG183,Tabel37[[#Headers],[Geen]:[Waarde MIN]],'DATA - Variabelen &amp; waarden'!$D$383:$G$383,"Selecteer waarde"),AH183)</f>
        <v>10</v>
      </c>
      <c r="AJ183" s="190" t="s">
        <v>92</v>
      </c>
    </row>
    <row r="184" spans="2:36" ht="18" thickTop="1" thickBot="1" x14ac:dyDescent="0.25">
      <c r="H184" s="79" t="s">
        <v>166</v>
      </c>
      <c r="I184" s="69" t="s">
        <v>76</v>
      </c>
      <c r="J184" s="171"/>
      <c r="K184" s="171"/>
      <c r="L184" s="80"/>
      <c r="N184" s="79" t="s">
        <v>166</v>
      </c>
      <c r="O184" s="69" t="s">
        <v>167</v>
      </c>
      <c r="P184" s="171"/>
      <c r="Q184" s="171"/>
      <c r="R184" s="80"/>
      <c r="T184" s="79" t="s">
        <v>166</v>
      </c>
      <c r="U184" s="69" t="s">
        <v>76</v>
      </c>
      <c r="V184" s="171"/>
      <c r="W184" s="171"/>
      <c r="X184" s="80"/>
      <c r="Z184" s="79" t="s">
        <v>166</v>
      </c>
      <c r="AA184" s="69" t="s">
        <v>167</v>
      </c>
      <c r="AB184" s="171"/>
      <c r="AC184" s="171"/>
      <c r="AD184" s="80"/>
      <c r="AF184" s="79" t="s">
        <v>166</v>
      </c>
      <c r="AG184" s="69" t="s">
        <v>76</v>
      </c>
      <c r="AH184" s="171"/>
      <c r="AI184" s="171"/>
      <c r="AJ184" s="80"/>
    </row>
    <row r="185" spans="2:36" ht="17" thickTop="1" x14ac:dyDescent="0.2">
      <c r="B185" s="268"/>
      <c r="H185" s="79"/>
      <c r="I185" s="171"/>
      <c r="J185" s="171"/>
      <c r="K185" s="171"/>
      <c r="L185" s="80"/>
      <c r="N185" s="79"/>
      <c r="O185" s="171"/>
      <c r="P185" s="171"/>
      <c r="Q185" s="171"/>
      <c r="R185" s="80"/>
      <c r="T185" s="79"/>
      <c r="U185" s="171"/>
      <c r="V185" s="171"/>
      <c r="W185" s="171"/>
      <c r="X185" s="80"/>
      <c r="Z185" s="79"/>
      <c r="AA185" s="171"/>
      <c r="AB185" s="171"/>
      <c r="AC185" s="171"/>
      <c r="AD185" s="80"/>
      <c r="AF185" s="79"/>
      <c r="AG185" s="171"/>
      <c r="AH185" s="171"/>
      <c r="AI185" s="171"/>
      <c r="AJ185" s="80"/>
    </row>
    <row r="186" spans="2:36" x14ac:dyDescent="0.2">
      <c r="B186" s="268"/>
      <c r="H186" s="109" t="s">
        <v>111</v>
      </c>
      <c r="I186" s="171"/>
      <c r="J186" s="171"/>
      <c r="K186" s="171"/>
      <c r="L186" s="80"/>
      <c r="N186" s="109" t="s">
        <v>111</v>
      </c>
      <c r="O186" s="171"/>
      <c r="P186" s="171"/>
      <c r="Q186" s="171"/>
      <c r="R186" s="80"/>
      <c r="T186" s="109" t="s">
        <v>111</v>
      </c>
      <c r="U186" s="171"/>
      <c r="V186" s="171"/>
      <c r="W186" s="171"/>
      <c r="X186" s="80"/>
      <c r="Z186" s="109" t="s">
        <v>111</v>
      </c>
      <c r="AA186" s="171"/>
      <c r="AB186" s="171"/>
      <c r="AC186" s="171"/>
      <c r="AD186" s="80"/>
      <c r="AF186" s="109" t="s">
        <v>111</v>
      </c>
      <c r="AG186" s="171"/>
      <c r="AH186" s="171"/>
      <c r="AI186" s="171"/>
      <c r="AJ186" s="80"/>
    </row>
    <row r="187" spans="2:36" x14ac:dyDescent="0.2">
      <c r="B187" s="268"/>
      <c r="C187" s="421"/>
      <c r="H187" s="187" t="s">
        <v>168</v>
      </c>
      <c r="I187" s="104"/>
      <c r="J187" s="104"/>
      <c r="K187" s="214">
        <f>K162</f>
        <v>0.9</v>
      </c>
      <c r="L187" s="185" t="s">
        <v>83</v>
      </c>
      <c r="N187" s="187" t="s">
        <v>168</v>
      </c>
      <c r="O187" s="104"/>
      <c r="P187" s="104"/>
      <c r="Q187" s="214">
        <f>Q162</f>
        <v>0.98</v>
      </c>
      <c r="R187" s="185" t="s">
        <v>83</v>
      </c>
      <c r="T187" s="187" t="s">
        <v>168</v>
      </c>
      <c r="U187" s="104"/>
      <c r="V187" s="104"/>
      <c r="W187" s="214">
        <f>W162</f>
        <v>0.8</v>
      </c>
      <c r="X187" s="185" t="s">
        <v>83</v>
      </c>
      <c r="Z187" s="187" t="s">
        <v>168</v>
      </c>
      <c r="AA187" s="104"/>
      <c r="AB187" s="104"/>
      <c r="AC187" s="214">
        <f>AC162</f>
        <v>0.97</v>
      </c>
      <c r="AD187" s="185" t="s">
        <v>83</v>
      </c>
      <c r="AF187" s="187" t="s">
        <v>168</v>
      </c>
      <c r="AG187" s="104"/>
      <c r="AH187" s="104"/>
      <c r="AI187" s="214">
        <f>AI162</f>
        <v>0.9</v>
      </c>
      <c r="AJ187" s="185" t="s">
        <v>83</v>
      </c>
    </row>
    <row r="188" spans="2:36" x14ac:dyDescent="0.2">
      <c r="B188" s="268"/>
      <c r="H188" s="207" t="s">
        <v>88</v>
      </c>
      <c r="I188" s="195"/>
      <c r="J188" s="195"/>
      <c r="K188" s="259">
        <f>IFERROR(IF(K181&lt;K187,K180/K187,K180),0)</f>
        <v>145</v>
      </c>
      <c r="L188" s="190" t="s">
        <v>86</v>
      </c>
      <c r="N188" s="207" t="s">
        <v>88</v>
      </c>
      <c r="O188" s="195"/>
      <c r="P188" s="195"/>
      <c r="Q188" s="232">
        <f>IFERROR(IF(Q181&lt;Q187,Q180/Q187,Q180),0)</f>
        <v>25.510204081632654</v>
      </c>
      <c r="R188" s="190" t="s">
        <v>86</v>
      </c>
      <c r="T188" s="207" t="s">
        <v>88</v>
      </c>
      <c r="U188" s="195"/>
      <c r="V188" s="195"/>
      <c r="W188" s="232">
        <f>IFERROR(IF(W181&lt;W187,W180/W187,W180),0)</f>
        <v>145</v>
      </c>
      <c r="X188" s="190" t="s">
        <v>86</v>
      </c>
      <c r="Z188" s="207" t="s">
        <v>88</v>
      </c>
      <c r="AA188" s="195"/>
      <c r="AB188" s="195"/>
      <c r="AC188" s="232">
        <f>IFERROR(IF(AC181&lt;AC187,AC180/AC187,AC180),0)</f>
        <v>149.48453608247422</v>
      </c>
      <c r="AD188" s="190" t="s">
        <v>86</v>
      </c>
      <c r="AF188" s="207" t="s">
        <v>88</v>
      </c>
      <c r="AG188" s="195"/>
      <c r="AH188" s="195"/>
      <c r="AI188" s="232">
        <f>IFERROR(IF(AI181&lt;AI187,AI180/AI187,AI180),0)</f>
        <v>140</v>
      </c>
      <c r="AJ188" s="190" t="s">
        <v>86</v>
      </c>
    </row>
    <row r="189" spans="2:36" x14ac:dyDescent="0.2">
      <c r="B189" s="268"/>
      <c r="H189" s="207" t="s">
        <v>89</v>
      </c>
      <c r="I189" s="195"/>
      <c r="J189" s="195"/>
      <c r="K189" s="259">
        <f>IF(K181&lt;K187,K182-K188,0)</f>
        <v>0</v>
      </c>
      <c r="L189" s="190" t="s">
        <v>86</v>
      </c>
      <c r="N189" s="207" t="s">
        <v>89</v>
      </c>
      <c r="O189" s="195"/>
      <c r="P189" s="195"/>
      <c r="Q189" s="232">
        <f>IF(Q181&lt;Q187,Q182-Q188,0)</f>
        <v>2.2675736961451243</v>
      </c>
      <c r="R189" s="190" t="s">
        <v>86</v>
      </c>
      <c r="T189" s="207" t="s">
        <v>89</v>
      </c>
      <c r="U189" s="195"/>
      <c r="V189" s="195"/>
      <c r="W189" s="232">
        <f>IF(W181&lt;W187,W182-W188,0)</f>
        <v>0</v>
      </c>
      <c r="X189" s="190" t="s">
        <v>86</v>
      </c>
      <c r="Z189" s="207" t="s">
        <v>89</v>
      </c>
      <c r="AA189" s="195"/>
      <c r="AB189" s="195"/>
      <c r="AC189" s="232">
        <f>IF(AC181&lt;AC187,AC182-AC188,0)</f>
        <v>11.626575028636893</v>
      </c>
      <c r="AD189" s="190" t="s">
        <v>86</v>
      </c>
      <c r="AF189" s="207" t="s">
        <v>89</v>
      </c>
      <c r="AG189" s="195"/>
      <c r="AH189" s="195"/>
      <c r="AI189" s="232">
        <f>IF(AI181&lt;AI187,AI182-AI188,0)</f>
        <v>0</v>
      </c>
      <c r="AJ189" s="190" t="s">
        <v>86</v>
      </c>
    </row>
    <row r="190" spans="2:36" x14ac:dyDescent="0.2">
      <c r="B190" s="268"/>
      <c r="H190" s="251" t="s">
        <v>169</v>
      </c>
      <c r="I190" s="90" t="s">
        <v>25</v>
      </c>
      <c r="J190" s="92" t="s">
        <v>26</v>
      </c>
      <c r="K190" s="171"/>
      <c r="L190" s="80"/>
      <c r="N190" s="251" t="s">
        <v>169</v>
      </c>
      <c r="O190" s="90" t="s">
        <v>25</v>
      </c>
      <c r="P190" s="92" t="s">
        <v>26</v>
      </c>
      <c r="Q190" s="171"/>
      <c r="R190" s="80"/>
      <c r="T190" s="251" t="s">
        <v>169</v>
      </c>
      <c r="U190" s="90" t="s">
        <v>25</v>
      </c>
      <c r="V190" s="92" t="s">
        <v>26</v>
      </c>
      <c r="W190" s="171"/>
      <c r="X190" s="80"/>
      <c r="Z190" s="251" t="s">
        <v>169</v>
      </c>
      <c r="AA190" s="90" t="s">
        <v>25</v>
      </c>
      <c r="AB190" s="92" t="s">
        <v>26</v>
      </c>
      <c r="AC190" s="171"/>
      <c r="AD190" s="80"/>
      <c r="AF190" s="251" t="s">
        <v>169</v>
      </c>
      <c r="AG190" s="90" t="s">
        <v>25</v>
      </c>
      <c r="AH190" s="92" t="s">
        <v>26</v>
      </c>
      <c r="AI190" s="171"/>
      <c r="AJ190" s="80"/>
    </row>
    <row r="191" spans="2:36" ht="17" thickBot="1" x14ac:dyDescent="0.25">
      <c r="B191" s="268"/>
      <c r="H191" s="187" t="s">
        <v>96</v>
      </c>
      <c r="I191" s="171"/>
      <c r="J191" s="62">
        <v>85</v>
      </c>
      <c r="K191" s="104">
        <f>J191</f>
        <v>85</v>
      </c>
      <c r="L191" s="185" t="s">
        <v>97</v>
      </c>
      <c r="N191" s="187" t="s">
        <v>96</v>
      </c>
      <c r="O191" s="171"/>
      <c r="P191" s="62">
        <v>85</v>
      </c>
      <c r="Q191" s="104">
        <f>P191</f>
        <v>85</v>
      </c>
      <c r="R191" s="185" t="s">
        <v>97</v>
      </c>
      <c r="T191" s="187" t="s">
        <v>96</v>
      </c>
      <c r="U191" s="171"/>
      <c r="V191" s="62">
        <v>85</v>
      </c>
      <c r="W191" s="104">
        <f>V191</f>
        <v>85</v>
      </c>
      <c r="X191" s="185" t="s">
        <v>97</v>
      </c>
      <c r="Z191" s="187" t="s">
        <v>96</v>
      </c>
      <c r="AA191" s="171"/>
      <c r="AB191" s="62">
        <v>85</v>
      </c>
      <c r="AC191" s="104">
        <f>AB191</f>
        <v>85</v>
      </c>
      <c r="AD191" s="185" t="s">
        <v>97</v>
      </c>
      <c r="AF191" s="187" t="s">
        <v>96</v>
      </c>
      <c r="AG191" s="171"/>
      <c r="AH191" s="62">
        <v>85</v>
      </c>
      <c r="AI191" s="104">
        <f>AH191</f>
        <v>85</v>
      </c>
      <c r="AJ191" s="185" t="s">
        <v>97</v>
      </c>
    </row>
    <row r="192" spans="2:36" ht="18" thickTop="1" thickBot="1" x14ac:dyDescent="0.25">
      <c r="B192" s="268"/>
      <c r="H192" s="237" t="s">
        <v>99</v>
      </c>
      <c r="I192" s="69" t="s">
        <v>54</v>
      </c>
      <c r="J192" s="62"/>
      <c r="K192" s="236" cm="1">
        <f t="array" ref="K192">IF(ISBLANK(J192),INDEX(ProcesCost01[[#All],[Geen]:[Waarde MIN]],_xlfn.XMATCH('SCENARIO 1 - Gemiddeld'!H192,ProcesCost01[[#All],[Transportkosten]]),_xlfn.XMATCH('SCENARIO 1 - Gemiddeld'!I192,ProcesCost01[[#Headers],[Geen]:[Waarde MIN]])),J192)</f>
        <v>0.04</v>
      </c>
      <c r="L192" s="185" t="s">
        <v>100</v>
      </c>
      <c r="N192" s="237" t="s">
        <v>99</v>
      </c>
      <c r="O192" s="69" t="s">
        <v>54</v>
      </c>
      <c r="P192" s="62"/>
      <c r="Q192" s="236" cm="1">
        <f t="array" ref="Q192">IF(ISBLANK(P192),INDEX(ProcesCost01[[#All],[Geen]:[Waarde MIN]],_xlfn.XMATCH('SCENARIO 1 - Gemiddeld'!N192,ProcesCost01[[#All],[Transportkosten]]),_xlfn.XMATCH('SCENARIO 1 - Gemiddeld'!O192,ProcesCost01[[#Headers],[Geen]:[Waarde MIN]])),P192)</f>
        <v>0.04</v>
      </c>
      <c r="R192" s="185" t="s">
        <v>100</v>
      </c>
      <c r="T192" s="237" t="s">
        <v>99</v>
      </c>
      <c r="U192" s="69" t="s">
        <v>54</v>
      </c>
      <c r="V192" s="62"/>
      <c r="W192" s="236" cm="1">
        <f t="array" ref="W192">IF(ISBLANK(V192),INDEX(ProcesCost01[[#All],[Geen]:[Waarde MIN]],_xlfn.XMATCH('SCENARIO 1 - Gemiddeld'!T192,ProcesCost01[[#All],[Transportkosten]]),_xlfn.XMATCH('SCENARIO 1 - Gemiddeld'!U192,ProcesCost01[[#Headers],[Geen]:[Waarde MIN]])),V192)</f>
        <v>0.04</v>
      </c>
      <c r="X192" s="185" t="s">
        <v>100</v>
      </c>
      <c r="Z192" s="237" t="s">
        <v>99</v>
      </c>
      <c r="AA192" s="69" t="s">
        <v>54</v>
      </c>
      <c r="AB192" s="62"/>
      <c r="AC192" s="236" cm="1">
        <f t="array" ref="AC192">IF(ISBLANK(AB192),INDEX(ProcesCost01[[#All],[Geen]:[Waarde MIN]],_xlfn.XMATCH('SCENARIO 1 - Gemiddeld'!Z192,ProcesCost01[[#All],[Transportkosten]]),_xlfn.XMATCH('SCENARIO 1 - Gemiddeld'!AA192,ProcesCost01[[#Headers],[Geen]:[Waarde MIN]])),AB192)</f>
        <v>0.04</v>
      </c>
      <c r="AD192" s="185" t="s">
        <v>100</v>
      </c>
      <c r="AF192" s="237" t="s">
        <v>99</v>
      </c>
      <c r="AG192" s="69" t="s">
        <v>54</v>
      </c>
      <c r="AH192" s="62"/>
      <c r="AI192" s="236" cm="1">
        <f t="array" ref="AI192">IF(ISBLANK(AH192),INDEX(ProcesCost01[[#All],[Geen]:[Waarde MIN]],_xlfn.XMATCH('SCENARIO 1 - Gemiddeld'!AF192,ProcesCost01[[#All],[Transportkosten]]),_xlfn.XMATCH('SCENARIO 1 - Gemiddeld'!AG192,ProcesCost01[[#Headers],[Geen]:[Waarde MIN]])),AH192)</f>
        <v>0.04</v>
      </c>
      <c r="AJ192" s="185" t="s">
        <v>100</v>
      </c>
    </row>
    <row r="193" spans="2:36" ht="17" thickTop="1" x14ac:dyDescent="0.2">
      <c r="B193" s="268"/>
      <c r="H193" s="207" t="s">
        <v>101</v>
      </c>
      <c r="I193" s="171"/>
      <c r="J193" s="62"/>
      <c r="K193" s="192">
        <f>IF(K181&lt;K187,IF(I184="Nee",0,IF(ISBLANK(J193),K191*K192*K182,J193)),0)</f>
        <v>0</v>
      </c>
      <c r="L193" s="80" t="s">
        <v>102</v>
      </c>
      <c r="N193" s="207" t="s">
        <v>101</v>
      </c>
      <c r="O193" s="171"/>
      <c r="P193" s="62"/>
      <c r="Q193" s="192">
        <f>IF(Q181&lt;Q187,IF(O184="Nee",0,IF(ISBLANK(P193),Q191*Q192*Q182,P193)),0)</f>
        <v>94.444444444444443</v>
      </c>
      <c r="R193" s="80" t="s">
        <v>102</v>
      </c>
      <c r="T193" s="207" t="s">
        <v>101</v>
      </c>
      <c r="U193" s="171"/>
      <c r="V193" s="62"/>
      <c r="W193" s="192">
        <f>IF(W181&lt;W187,IF(U184="Nee",0,IF(ISBLANK(V193),W191*W192*W182,V193)),0)</f>
        <v>0</v>
      </c>
      <c r="X193" s="80" t="s">
        <v>102</v>
      </c>
      <c r="Z193" s="207" t="s">
        <v>101</v>
      </c>
      <c r="AA193" s="171"/>
      <c r="AB193" s="62"/>
      <c r="AC193" s="192">
        <f>IF(AC181&lt;AC187,IF(AA184="Nee",0,IF(ISBLANK(AB193),AC191*AC192*AC182,AB193)),0)</f>
        <v>547.77777777777783</v>
      </c>
      <c r="AD193" s="80" t="s">
        <v>102</v>
      </c>
      <c r="AF193" s="207" t="s">
        <v>101</v>
      </c>
      <c r="AG193" s="171"/>
      <c r="AH193" s="62"/>
      <c r="AI193" s="192">
        <f>IF(AI181&lt;AI187,IF(AG184="Nee",0,IF(ISBLANK(AH193),AI191*AI192*AI182,AH193)),0)</f>
        <v>0</v>
      </c>
      <c r="AJ193" s="80" t="s">
        <v>102</v>
      </c>
    </row>
    <row r="194" spans="2:36" ht="17" thickBot="1" x14ac:dyDescent="0.25">
      <c r="B194" s="268"/>
      <c r="H194" s="251" t="s">
        <v>170</v>
      </c>
      <c r="I194" s="90" t="s">
        <v>25</v>
      </c>
      <c r="J194" s="92" t="s">
        <v>26</v>
      </c>
      <c r="K194" s="171"/>
      <c r="L194" s="80"/>
      <c r="N194" s="251" t="s">
        <v>170</v>
      </c>
      <c r="O194" s="90" t="s">
        <v>25</v>
      </c>
      <c r="P194" s="92" t="s">
        <v>26</v>
      </c>
      <c r="Q194" s="171"/>
      <c r="R194" s="80"/>
      <c r="T194" s="251" t="s">
        <v>170</v>
      </c>
      <c r="U194" s="90" t="s">
        <v>25</v>
      </c>
      <c r="V194" s="92" t="s">
        <v>26</v>
      </c>
      <c r="W194" s="171"/>
      <c r="X194" s="80"/>
      <c r="Z194" s="251" t="s">
        <v>170</v>
      </c>
      <c r="AA194" s="90" t="s">
        <v>25</v>
      </c>
      <c r="AB194" s="92" t="s">
        <v>26</v>
      </c>
      <c r="AC194" s="171"/>
      <c r="AD194" s="80"/>
      <c r="AF194" s="251" t="s">
        <v>170</v>
      </c>
      <c r="AG194" s="90" t="s">
        <v>25</v>
      </c>
      <c r="AH194" s="92" t="s">
        <v>26</v>
      </c>
      <c r="AI194" s="171"/>
      <c r="AJ194" s="80"/>
    </row>
    <row r="195" spans="2:36" ht="18" thickTop="1" thickBot="1" x14ac:dyDescent="0.25">
      <c r="H195" s="237" t="s">
        <v>114</v>
      </c>
      <c r="I195" s="69" t="s">
        <v>54</v>
      </c>
      <c r="J195" s="77"/>
      <c r="K195" s="240" cm="1">
        <f t="array" ref="K195">IF(ISBLANK(J195),INDEX(DryingCost1[[#All],[Geen]:[Waarde MIN]],_xlfn.XMATCH('SCENARIO 1 - Gemiddeld'!H195,DryingCost1[[#All],[Drogen - Kosten]]),_xlfn.XMATCH('SCENARIO 1 - Gemiddeld'!I195,DryingCost1[[#Headers],[Geen]:[Waarde MIN]])),J195)</f>
        <v>400</v>
      </c>
      <c r="L195" s="185" t="s">
        <v>115</v>
      </c>
      <c r="N195" s="237" t="s">
        <v>171</v>
      </c>
      <c r="O195" s="69" t="s">
        <v>54</v>
      </c>
      <c r="P195" s="77"/>
      <c r="Q195" s="240" cm="1">
        <f t="array" ref="Q195">IF(ISBLANK(P195),INDEX(DryingCost1[[#All],[Geen]:[Waarde MIN]],_xlfn.XMATCH('SCENARIO 1 - Gemiddeld'!N195,DryingCost1[[#All],[Drogen - Kosten]]),_xlfn.XMATCH('SCENARIO 1 - Gemiddeld'!O195,DryingCost1[[#Headers],[Geen]:[Waarde MIN]])),P195)</f>
        <v>550</v>
      </c>
      <c r="R195" s="185" t="s">
        <v>115</v>
      </c>
      <c r="T195" s="237" t="s">
        <v>114</v>
      </c>
      <c r="U195" s="69" t="s">
        <v>54</v>
      </c>
      <c r="V195" s="77"/>
      <c r="W195" s="240" cm="1">
        <f t="array" ref="W195">IF(ISBLANK(V195),INDEX(DryingCost1[[#All],[Geen]:[Waarde MIN]],_xlfn.XMATCH('SCENARIO 1 - Gemiddeld'!T195,DryingCost1[[#All],[Drogen - Kosten]]),_xlfn.XMATCH('SCENARIO 1 - Gemiddeld'!U195,DryingCost1[[#Headers],[Geen]:[Waarde MIN]])),V195)</f>
        <v>400</v>
      </c>
      <c r="X195" s="185" t="s">
        <v>115</v>
      </c>
      <c r="Z195" s="237" t="s">
        <v>114</v>
      </c>
      <c r="AA195" s="69" t="s">
        <v>54</v>
      </c>
      <c r="AB195" s="77"/>
      <c r="AC195" s="240" cm="1">
        <f t="array" ref="AC195">IF(ISBLANK(AB195),INDEX(DryingCost1[[#All],[Geen]:[Waarde MIN]],_xlfn.XMATCH('SCENARIO 1 - Gemiddeld'!Z195,DryingCost1[[#All],[Drogen - Kosten]]),_xlfn.XMATCH('SCENARIO 1 - Gemiddeld'!AA195,DryingCost1[[#Headers],[Geen]:[Waarde MIN]])),AB195)</f>
        <v>400</v>
      </c>
      <c r="AD195" s="185" t="s">
        <v>115</v>
      </c>
      <c r="AF195" s="237" t="s">
        <v>114</v>
      </c>
      <c r="AG195" s="69" t="s">
        <v>54</v>
      </c>
      <c r="AH195" s="77"/>
      <c r="AI195" s="240" cm="1">
        <f t="array" ref="AI195">IF(ISBLANK(AH195),INDEX(DryingCost1[[#All],[Geen]:[Waarde MIN]],_xlfn.XMATCH('SCENARIO 1 - Gemiddeld'!AF195,DryingCost1[[#All],[Drogen - Kosten]]),_xlfn.XMATCH('SCENARIO 1 - Gemiddeld'!AG195,DryingCost1[[#Headers],[Geen]:[Waarde MIN]])),AH195)</f>
        <v>400</v>
      </c>
      <c r="AJ195" s="185" t="s">
        <v>115</v>
      </c>
    </row>
    <row r="196" spans="2:36" ht="18" thickTop="1" thickBot="1" x14ac:dyDescent="0.25">
      <c r="H196" s="187" t="s">
        <v>117</v>
      </c>
      <c r="I196" s="69" t="s">
        <v>54</v>
      </c>
      <c r="J196" s="76"/>
      <c r="K196" s="241" cm="1">
        <f t="array" ref="K196">IF(ISBLANK(J196),INDEX(DryingCost11[[#All],[Geen]:[Waarde MIN]],_xlfn.XMATCH('SCENARIO 1 - Gemiddeld'!H195,DryingCost11[[#All],[Drogen - Producteffciency]]),_xlfn.XMATCH('SCENARIO 1 - Gemiddeld'!I196,DryingCost11[[#Headers],[Geen]:[Waarde MIN]])),J196)</f>
        <v>0.9</v>
      </c>
      <c r="L196" s="185" t="s">
        <v>58</v>
      </c>
      <c r="N196" s="187" t="s">
        <v>117</v>
      </c>
      <c r="O196" s="69" t="s">
        <v>54</v>
      </c>
      <c r="P196" s="76"/>
      <c r="Q196" s="241" cm="1">
        <f t="array" ref="Q196">IF(ISBLANK(P196),INDEX(DryingCost11[[#All],[Geen]:[Waarde MIN]],_xlfn.XMATCH('SCENARIO 1 - Gemiddeld'!N195,DryingCost11[[#All],[Drogen - Producteffciency]]),_xlfn.XMATCH('SCENARIO 1 - Gemiddeld'!O196,DryingCost11[[#Headers],[Geen]:[Waarde MIN]])),P196)</f>
        <v>1</v>
      </c>
      <c r="R196" s="185" t="s">
        <v>58</v>
      </c>
      <c r="T196" s="206" t="s">
        <v>117</v>
      </c>
      <c r="U196" s="69" t="s">
        <v>54</v>
      </c>
      <c r="V196" s="76"/>
      <c r="W196" s="241" cm="1">
        <f t="array" ref="W196">IF(ISBLANK(V196),INDEX(DryingCost11[[#All],[Geen]:[Waarde MIN]],_xlfn.XMATCH('SCENARIO 1 - Gemiddeld'!T195,DryingCost11[[#All],[Drogen - Producteffciency]]),_xlfn.XMATCH('SCENARIO 1 - Gemiddeld'!U196,DryingCost11[[#Headers],[Geen]:[Waarde MIN]])),V196)</f>
        <v>0.9</v>
      </c>
      <c r="X196" s="185" t="s">
        <v>58</v>
      </c>
      <c r="Z196" s="206" t="s">
        <v>117</v>
      </c>
      <c r="AA196" s="69" t="s">
        <v>54</v>
      </c>
      <c r="AB196" s="76"/>
      <c r="AC196" s="241" cm="1">
        <f t="array" ref="AC196">IF(ISBLANK(AB196),INDEX(DryingCost11[[#All],[Geen]:[Waarde MIN]],_xlfn.XMATCH('SCENARIO 1 - Gemiddeld'!Z195,DryingCost11[[#All],[Drogen - Producteffciency]]),_xlfn.XMATCH('SCENARIO 1 - Gemiddeld'!AA196,DryingCost11[[#Headers],[Geen]:[Waarde MIN]])),AB196)</f>
        <v>0.9</v>
      </c>
      <c r="AD196" s="185" t="s">
        <v>58</v>
      </c>
      <c r="AF196" s="206" t="s">
        <v>117</v>
      </c>
      <c r="AG196" s="69" t="s">
        <v>54</v>
      </c>
      <c r="AH196" s="76"/>
      <c r="AI196" s="241" cm="1">
        <f t="array" ref="AI196">IF(ISBLANK(AH196),INDEX(DryingCost11[[#All],[Geen]:[Waarde MIN]],_xlfn.XMATCH('SCENARIO 1 - Gemiddeld'!AF195,DryingCost11[[#All],[Drogen - Producteffciency]]),_xlfn.XMATCH('SCENARIO 1 - Gemiddeld'!AG196,DryingCost11[[#Headers],[Geen]:[Waarde MIN]])),AH196)</f>
        <v>0.9</v>
      </c>
      <c r="AJ196" s="185" t="s">
        <v>58</v>
      </c>
    </row>
    <row r="197" spans="2:36" ht="17" thickTop="1" x14ac:dyDescent="0.2">
      <c r="H197" s="238" t="s">
        <v>111</v>
      </c>
      <c r="I197" s="171"/>
      <c r="J197" s="62"/>
      <c r="K197" s="192">
        <f>IF(I184="Nee",0,IF(ISBLANK(J197),K195*K189,J197))</f>
        <v>0</v>
      </c>
      <c r="L197" s="80" t="s">
        <v>102</v>
      </c>
      <c r="N197" s="238" t="s">
        <v>111</v>
      </c>
      <c r="O197" s="171"/>
      <c r="P197" s="62"/>
      <c r="Q197" s="192">
        <f>IF(O184="Nee",0,IF(ISBLANK(P197),Q195*Q189,P197))</f>
        <v>1247.1655328798183</v>
      </c>
      <c r="R197" s="80" t="s">
        <v>102</v>
      </c>
      <c r="T197" s="238" t="s">
        <v>111</v>
      </c>
      <c r="U197" s="171"/>
      <c r="V197" s="62"/>
      <c r="W197" s="192">
        <f>IF(U184="Nee",0,IF(ISBLANK(V197),W195*W189,V197))</f>
        <v>0</v>
      </c>
      <c r="X197" s="80" t="s">
        <v>102</v>
      </c>
      <c r="Z197" s="238" t="s">
        <v>111</v>
      </c>
      <c r="AA197" s="171"/>
      <c r="AB197" s="62"/>
      <c r="AC197" s="192">
        <f>IF(AA184="Nee",0,IF(ISBLANK(AB197),AC195*AC189,AB197))</f>
        <v>4650.6300114547576</v>
      </c>
      <c r="AD197" s="80" t="s">
        <v>102</v>
      </c>
      <c r="AF197" s="238" t="s">
        <v>111</v>
      </c>
      <c r="AG197" s="171"/>
      <c r="AH197" s="62"/>
      <c r="AI197" s="192">
        <f>IF(AG184="Nee",0,IF(ISBLANK(AH197),AI195*AI189,AH197))</f>
        <v>0</v>
      </c>
      <c r="AJ197" s="80" t="s">
        <v>102</v>
      </c>
    </row>
    <row r="198" spans="2:36" x14ac:dyDescent="0.2">
      <c r="H198" s="207" t="s">
        <v>118</v>
      </c>
      <c r="I198" s="171"/>
      <c r="J198" s="171"/>
      <c r="K198" s="259">
        <f>IF(K181&lt;K187,IF(I184="Nee",0,K188*K196),0)</f>
        <v>0</v>
      </c>
      <c r="L198" s="80" t="s">
        <v>86</v>
      </c>
      <c r="N198" s="207" t="s">
        <v>118</v>
      </c>
      <c r="O198" s="171"/>
      <c r="P198" s="171"/>
      <c r="Q198" s="221">
        <f>IF(Q181&lt;Q187,IF(O184="Nee",0,Q188*Q196),0)</f>
        <v>25.510204081632654</v>
      </c>
      <c r="R198" s="80" t="s">
        <v>86</v>
      </c>
      <c r="T198" s="207" t="s">
        <v>118</v>
      </c>
      <c r="U198" s="171"/>
      <c r="V198" s="171"/>
      <c r="W198" s="221">
        <f>IF(W181&lt;W187,IF(U184="Nee",0,W188*W196),0)</f>
        <v>0</v>
      </c>
      <c r="X198" s="80" t="s">
        <v>86</v>
      </c>
      <c r="Z198" s="207" t="s">
        <v>118</v>
      </c>
      <c r="AA198" s="171"/>
      <c r="AB198" s="171"/>
      <c r="AC198" s="221">
        <f>IF(AC181&lt;AC187,IF(AA184="Nee",0,AC188*AC196),0)</f>
        <v>134.53608247422682</v>
      </c>
      <c r="AD198" s="80" t="s">
        <v>86</v>
      </c>
      <c r="AF198" s="207" t="s">
        <v>118</v>
      </c>
      <c r="AG198" s="171"/>
      <c r="AH198" s="171"/>
      <c r="AI198" s="221">
        <f>IF(AI181&lt;AI187,IF(AG184="Nee",0,AI188*AI196),0)</f>
        <v>0</v>
      </c>
      <c r="AJ198" s="80" t="s">
        <v>86</v>
      </c>
    </row>
    <row r="199" spans="2:36" x14ac:dyDescent="0.2">
      <c r="E199" s="28"/>
      <c r="H199" s="207" t="s">
        <v>120</v>
      </c>
      <c r="I199" s="171"/>
      <c r="J199" s="171"/>
      <c r="K199" s="259">
        <f>IF(K181&lt;K187,IF(I184="Nee",0,K188-K198),0)</f>
        <v>0</v>
      </c>
      <c r="L199" s="80" t="s">
        <v>86</v>
      </c>
      <c r="N199" s="207" t="s">
        <v>120</v>
      </c>
      <c r="O199" s="171"/>
      <c r="P199" s="171"/>
      <c r="Q199" s="221">
        <f>IF(Q181&lt;Q187,IF(O184="Nee",0,Q188-Q198),0)</f>
        <v>0</v>
      </c>
      <c r="R199" s="80" t="s">
        <v>86</v>
      </c>
      <c r="T199" s="207" t="s">
        <v>120</v>
      </c>
      <c r="U199" s="171"/>
      <c r="V199" s="171"/>
      <c r="W199" s="221">
        <f>IF(W181&lt;W187,IF(U184="Nee",0,W188-W198),0)</f>
        <v>0</v>
      </c>
      <c r="X199" s="80" t="s">
        <v>86</v>
      </c>
      <c r="Z199" s="207" t="s">
        <v>120</v>
      </c>
      <c r="AA199" s="171"/>
      <c r="AB199" s="171"/>
      <c r="AC199" s="221">
        <f>IF(AC181&lt;AC187,IF(AA184="Nee",0,AC188-AC198),0)</f>
        <v>14.948453608247405</v>
      </c>
      <c r="AD199" s="80" t="s">
        <v>86</v>
      </c>
      <c r="AF199" s="207" t="s">
        <v>120</v>
      </c>
      <c r="AG199" s="171"/>
      <c r="AH199" s="171"/>
      <c r="AI199" s="221">
        <f>IF(AI181&lt;AI187,IF(AG184="Nee",0,AI188-AI198),0)</f>
        <v>0</v>
      </c>
      <c r="AJ199" s="80" t="s">
        <v>86</v>
      </c>
    </row>
    <row r="200" spans="2:36" ht="17" thickBot="1" x14ac:dyDescent="0.25">
      <c r="H200" s="79"/>
      <c r="I200" s="171"/>
      <c r="J200" s="171"/>
      <c r="K200" s="171"/>
      <c r="L200" s="80"/>
      <c r="N200" s="79"/>
      <c r="O200" s="171"/>
      <c r="P200" s="171"/>
      <c r="Q200" s="171"/>
      <c r="R200" s="80"/>
      <c r="T200" s="79"/>
      <c r="U200" s="171"/>
      <c r="V200" s="171"/>
      <c r="W200" s="171"/>
      <c r="X200" s="80"/>
      <c r="Z200" s="79"/>
      <c r="AA200" s="171"/>
      <c r="AB200" s="171"/>
      <c r="AC200" s="171"/>
      <c r="AD200" s="80"/>
      <c r="AF200" s="79"/>
      <c r="AG200" s="171"/>
      <c r="AH200" s="171"/>
      <c r="AI200" s="171"/>
      <c r="AJ200" s="80"/>
    </row>
    <row r="201" spans="2:36" ht="18" thickTop="1" thickBot="1" x14ac:dyDescent="0.25">
      <c r="H201" s="205" t="s">
        <v>172</v>
      </c>
      <c r="I201" s="69" t="s">
        <v>167</v>
      </c>
      <c r="J201" s="171"/>
      <c r="K201" s="171"/>
      <c r="L201" s="80"/>
      <c r="N201" s="205" t="s">
        <v>172</v>
      </c>
      <c r="O201" s="69" t="s">
        <v>167</v>
      </c>
      <c r="P201" s="171"/>
      <c r="Q201" s="171"/>
      <c r="R201" s="80"/>
      <c r="T201" s="205" t="s">
        <v>172</v>
      </c>
      <c r="U201" s="69" t="s">
        <v>167</v>
      </c>
      <c r="V201" s="171"/>
      <c r="W201" s="171"/>
      <c r="X201" s="80"/>
      <c r="Z201" s="205" t="s">
        <v>172</v>
      </c>
      <c r="AA201" s="69" t="s">
        <v>167</v>
      </c>
      <c r="AB201" s="171"/>
      <c r="AC201" s="171"/>
      <c r="AD201" s="80"/>
      <c r="AF201" s="205" t="s">
        <v>172</v>
      </c>
      <c r="AG201" s="69" t="s">
        <v>167</v>
      </c>
      <c r="AH201" s="171"/>
      <c r="AI201" s="171"/>
      <c r="AJ201" s="80"/>
    </row>
    <row r="202" spans="2:36" ht="17" thickTop="1" x14ac:dyDescent="0.2">
      <c r="H202" s="201" t="s">
        <v>173</v>
      </c>
      <c r="I202" s="171"/>
      <c r="J202" s="171"/>
      <c r="K202" s="219">
        <f>IF(K198&gt;0,IF(I184='DATA - Variabelen &amp; waarden'!$B$326,K198,K182),K182)</f>
        <v>161.11111111111111</v>
      </c>
      <c r="L202" s="80" t="s">
        <v>86</v>
      </c>
      <c r="N202" s="201" t="s">
        <v>173</v>
      </c>
      <c r="O202" s="171"/>
      <c r="P202" s="171"/>
      <c r="Q202" s="219">
        <f>IF(Q198&gt;0,IF(O184='DATA - Variabelen &amp; waarden'!$B$326,Q198,Q182),Q182)</f>
        <v>25.510204081632654</v>
      </c>
      <c r="R202" s="80" t="s">
        <v>86</v>
      </c>
      <c r="T202" s="201" t="s">
        <v>173</v>
      </c>
      <c r="U202" s="171"/>
      <c r="V202" s="171"/>
      <c r="W202" s="219">
        <f>IF(W198&gt;0,IF(U184='DATA - Variabelen &amp; waarden'!$B$326,W198,W182),W182)</f>
        <v>161.11111111111111</v>
      </c>
      <c r="X202" s="80" t="s">
        <v>86</v>
      </c>
      <c r="Z202" s="201" t="s">
        <v>173</v>
      </c>
      <c r="AA202" s="171"/>
      <c r="AB202" s="171"/>
      <c r="AC202" s="219">
        <f>IF(AC198&gt;0,IF(AA184='DATA - Variabelen &amp; waarden'!$B$326,AC198,AC182),AC182)</f>
        <v>134.53608247422682</v>
      </c>
      <c r="AD202" s="80" t="s">
        <v>86</v>
      </c>
      <c r="AF202" s="201" t="s">
        <v>173</v>
      </c>
      <c r="AG202" s="171"/>
      <c r="AH202" s="171"/>
      <c r="AI202" s="219">
        <f>IF(AI198&gt;0,IF(AG184='DATA - Variabelen &amp; waarden'!$B$326,AI198,AI182),AI182)</f>
        <v>155.55555555555554</v>
      </c>
      <c r="AJ202" s="80" t="s">
        <v>86</v>
      </c>
    </row>
    <row r="203" spans="2:36" x14ac:dyDescent="0.2">
      <c r="H203" s="260" t="s">
        <v>95</v>
      </c>
      <c r="I203" s="90" t="s">
        <v>25</v>
      </c>
      <c r="J203" s="92" t="s">
        <v>26</v>
      </c>
      <c r="K203" s="171"/>
      <c r="L203" s="80"/>
      <c r="N203" s="260" t="s">
        <v>95</v>
      </c>
      <c r="O203" s="90" t="s">
        <v>25</v>
      </c>
      <c r="P203" s="92" t="s">
        <v>26</v>
      </c>
      <c r="Q203" s="171"/>
      <c r="R203" s="80"/>
      <c r="T203" s="260" t="s">
        <v>95</v>
      </c>
      <c r="U203" s="90" t="s">
        <v>25</v>
      </c>
      <c r="V203" s="92" t="s">
        <v>26</v>
      </c>
      <c r="W203" s="171"/>
      <c r="X203" s="80"/>
      <c r="Z203" s="260" t="s">
        <v>95</v>
      </c>
      <c r="AA203" s="90" t="s">
        <v>25</v>
      </c>
      <c r="AB203" s="92" t="s">
        <v>26</v>
      </c>
      <c r="AC203" s="171"/>
      <c r="AD203" s="80"/>
      <c r="AF203" s="260" t="s">
        <v>95</v>
      </c>
      <c r="AG203" s="90" t="s">
        <v>25</v>
      </c>
      <c r="AH203" s="92" t="s">
        <v>26</v>
      </c>
      <c r="AI203" s="171"/>
      <c r="AJ203" s="80"/>
    </row>
    <row r="204" spans="2:36" ht="17" thickBot="1" x14ac:dyDescent="0.25">
      <c r="H204" s="187" t="s">
        <v>174</v>
      </c>
      <c r="I204" s="171"/>
      <c r="J204" s="62">
        <v>85</v>
      </c>
      <c r="K204" s="104">
        <f>J204</f>
        <v>85</v>
      </c>
      <c r="L204" s="185" t="s">
        <v>97</v>
      </c>
      <c r="N204" s="187" t="s">
        <v>174</v>
      </c>
      <c r="O204" s="171"/>
      <c r="P204" s="62">
        <v>85</v>
      </c>
      <c r="Q204" s="104">
        <f>P204</f>
        <v>85</v>
      </c>
      <c r="R204" s="185" t="s">
        <v>97</v>
      </c>
      <c r="T204" s="187" t="s">
        <v>174</v>
      </c>
      <c r="U204" s="171"/>
      <c r="V204" s="62">
        <v>85</v>
      </c>
      <c r="W204" s="104">
        <f>V204</f>
        <v>85</v>
      </c>
      <c r="X204" s="185" t="s">
        <v>97</v>
      </c>
      <c r="Z204" s="187" t="s">
        <v>174</v>
      </c>
      <c r="AA204" s="171"/>
      <c r="AB204" s="62">
        <v>85</v>
      </c>
      <c r="AC204" s="104">
        <f>AB204</f>
        <v>85</v>
      </c>
      <c r="AD204" s="185" t="s">
        <v>97</v>
      </c>
      <c r="AF204" s="187" t="s">
        <v>174</v>
      </c>
      <c r="AG204" s="171"/>
      <c r="AH204" s="62">
        <v>85</v>
      </c>
      <c r="AI204" s="104">
        <f>AH204</f>
        <v>85</v>
      </c>
      <c r="AJ204" s="185" t="s">
        <v>97</v>
      </c>
    </row>
    <row r="205" spans="2:36" ht="18" thickTop="1" thickBot="1" x14ac:dyDescent="0.25">
      <c r="H205" s="237" t="s">
        <v>99</v>
      </c>
      <c r="I205" s="69" t="s">
        <v>54</v>
      </c>
      <c r="J205" s="62"/>
      <c r="K205" s="236" cm="1">
        <f t="array" ref="K205">IF(ISBLANK(J205),INDEX(ProcesCost01[[#All],[Geen]:[Waarde MIN]],_xlfn.XMATCH('SCENARIO 1 - Gemiddeld'!H205,ProcesCost01[[#All],[Transportkosten]]),_xlfn.XMATCH('SCENARIO 1 - Gemiddeld'!I205,ProcesCost01[[#Headers],[Geen]:[Waarde MIN]])),J205)</f>
        <v>0.04</v>
      </c>
      <c r="L205" s="185" t="s">
        <v>100</v>
      </c>
      <c r="N205" s="237" t="s">
        <v>99</v>
      </c>
      <c r="O205" s="69" t="s">
        <v>54</v>
      </c>
      <c r="P205" s="62"/>
      <c r="Q205" s="236" cm="1">
        <f t="array" ref="Q205">IF(ISBLANK(P205),INDEX(ProcesCost01[[#All],[Geen]:[Waarde MIN]],_xlfn.XMATCH('SCENARIO 1 - Gemiddeld'!N205,ProcesCost01[[#All],[Transportkosten]]),_xlfn.XMATCH('SCENARIO 1 - Gemiddeld'!O205,ProcesCost01[[#Headers],[Geen]:[Waarde MIN]])),P205)</f>
        <v>0.04</v>
      </c>
      <c r="R205" s="185" t="s">
        <v>100</v>
      </c>
      <c r="T205" s="237" t="s">
        <v>99</v>
      </c>
      <c r="U205" s="69" t="s">
        <v>54</v>
      </c>
      <c r="V205" s="62"/>
      <c r="W205" s="236" cm="1">
        <f t="array" ref="W205">IF(ISBLANK(V205),INDEX(ProcesCost01[[#All],[Geen]:[Waarde MIN]],_xlfn.XMATCH('SCENARIO 1 - Gemiddeld'!T205,ProcesCost01[[#All],[Transportkosten]]),_xlfn.XMATCH('SCENARIO 1 - Gemiddeld'!U205,ProcesCost01[[#Headers],[Geen]:[Waarde MIN]])),V205)</f>
        <v>0.04</v>
      </c>
      <c r="X205" s="185" t="s">
        <v>100</v>
      </c>
      <c r="Z205" s="237" t="s">
        <v>99</v>
      </c>
      <c r="AA205" s="69" t="s">
        <v>54</v>
      </c>
      <c r="AB205" s="62"/>
      <c r="AC205" s="236" cm="1">
        <f t="array" ref="AC205">IF(ISBLANK(AB205),INDEX(ProcesCost01[[#All],[Geen]:[Waarde MIN]],_xlfn.XMATCH('SCENARIO 1 - Gemiddeld'!Z205,ProcesCost01[[#All],[Transportkosten]]),_xlfn.XMATCH('SCENARIO 1 - Gemiddeld'!AA205,ProcesCost01[[#Headers],[Geen]:[Waarde MIN]])),AB205)</f>
        <v>0.04</v>
      </c>
      <c r="AD205" s="185" t="s">
        <v>100</v>
      </c>
      <c r="AF205" s="237" t="s">
        <v>99</v>
      </c>
      <c r="AG205" s="69" t="s">
        <v>54</v>
      </c>
      <c r="AH205" s="62"/>
      <c r="AI205" s="236" cm="1">
        <f t="array" ref="AI205">IF(ISBLANK(AH205),INDEX(ProcesCost01[[#All],[Geen]:[Waarde MIN]],_xlfn.XMATCH('SCENARIO 1 - Gemiddeld'!AF205,ProcesCost01[[#All],[Transportkosten]]),_xlfn.XMATCH('SCENARIO 1 - Gemiddeld'!AG205,ProcesCost01[[#Headers],[Geen]:[Waarde MIN]])),AH205)</f>
        <v>0.04</v>
      </c>
      <c r="AJ205" s="185" t="s">
        <v>100</v>
      </c>
    </row>
    <row r="206" spans="2:36" ht="17" thickTop="1" x14ac:dyDescent="0.2">
      <c r="H206" s="207" t="s">
        <v>175</v>
      </c>
      <c r="I206" s="171"/>
      <c r="J206" s="62"/>
      <c r="K206" s="192">
        <f>IF(I201="Nee",0,IF(ISBLANK(J206),K204*K205*K202,J206))</f>
        <v>547.77777777777783</v>
      </c>
      <c r="L206" s="80" t="s">
        <v>102</v>
      </c>
      <c r="N206" s="207" t="s">
        <v>175</v>
      </c>
      <c r="O206" s="171"/>
      <c r="P206" s="62"/>
      <c r="Q206" s="192">
        <f>IF(O201="Nee",0,IF(ISBLANK(P206),Q204*Q205*Q202,P206))</f>
        <v>86.734693877551024</v>
      </c>
      <c r="R206" s="80" t="s">
        <v>102</v>
      </c>
      <c r="T206" s="207" t="s">
        <v>175</v>
      </c>
      <c r="U206" s="171"/>
      <c r="V206" s="62"/>
      <c r="W206" s="192">
        <f>IF(U201="Nee",0,IF(ISBLANK(V206),W204*W205*W202,V206))</f>
        <v>547.77777777777783</v>
      </c>
      <c r="X206" s="80" t="s">
        <v>102</v>
      </c>
      <c r="Z206" s="207" t="s">
        <v>175</v>
      </c>
      <c r="AA206" s="171"/>
      <c r="AB206" s="62"/>
      <c r="AC206" s="192">
        <f>IF(AA201="Nee",0,IF(ISBLANK(AB206),AC204*AC205*AC202,AB206))</f>
        <v>457.42268041237116</v>
      </c>
      <c r="AD206" s="80" t="s">
        <v>102</v>
      </c>
      <c r="AF206" s="207" t="s">
        <v>175</v>
      </c>
      <c r="AG206" s="171"/>
      <c r="AH206" s="62"/>
      <c r="AI206" s="192">
        <f>IF(AG201="Nee",0,IF(ISBLANK(AH206),AI204*AI205*AI202,AH206))</f>
        <v>528.8888888888888</v>
      </c>
      <c r="AJ206" s="80" t="s">
        <v>102</v>
      </c>
    </row>
    <row r="207" spans="2:36" ht="17" thickBot="1" x14ac:dyDescent="0.25">
      <c r="H207" s="260" t="s">
        <v>176</v>
      </c>
      <c r="I207" s="90" t="s">
        <v>25</v>
      </c>
      <c r="J207" s="92" t="s">
        <v>26</v>
      </c>
      <c r="K207" s="171"/>
      <c r="L207" s="80"/>
      <c r="N207" s="260" t="s">
        <v>176</v>
      </c>
      <c r="O207" s="90" t="s">
        <v>25</v>
      </c>
      <c r="P207" s="92" t="s">
        <v>26</v>
      </c>
      <c r="Q207" s="171"/>
      <c r="R207" s="80"/>
      <c r="T207" s="260" t="s">
        <v>176</v>
      </c>
      <c r="U207" s="90" t="s">
        <v>25</v>
      </c>
      <c r="V207" s="92" t="s">
        <v>26</v>
      </c>
      <c r="W207" s="171"/>
      <c r="X207" s="80"/>
      <c r="Z207" s="260" t="s">
        <v>176</v>
      </c>
      <c r="AA207" s="90" t="s">
        <v>25</v>
      </c>
      <c r="AB207" s="92" t="s">
        <v>26</v>
      </c>
      <c r="AC207" s="171"/>
      <c r="AD207" s="80"/>
      <c r="AF207" s="260" t="s">
        <v>176</v>
      </c>
      <c r="AG207" s="90" t="s">
        <v>25</v>
      </c>
      <c r="AH207" s="92" t="s">
        <v>26</v>
      </c>
      <c r="AI207" s="171"/>
      <c r="AJ207" s="80"/>
    </row>
    <row r="208" spans="2:36" ht="18" thickTop="1" thickBot="1" x14ac:dyDescent="0.25">
      <c r="H208" s="237" t="s">
        <v>177</v>
      </c>
      <c r="I208" s="69" t="s">
        <v>54</v>
      </c>
      <c r="J208" s="77"/>
      <c r="K208" s="236" cm="1">
        <f t="array" ref="K208">IF(I201="Nee",0,IF(ISBLANK(J208),INDEX(ProcesCost2[[#All],[Geen]:[Waarde MIN]],_xlfn.XMATCH('SCENARIO 1 - Gemiddeld'!H208,ProcesCost2[[#All],[Verwerking - Kosten]]),_xlfn.XMATCH('SCENARIO 1 - Gemiddeld'!I208,ProcesCost2[[#Headers],[Geen]:[Waarde MIN]])),J208))</f>
        <v>7.5</v>
      </c>
      <c r="L208" s="185" t="s">
        <v>178</v>
      </c>
      <c r="N208" s="237" t="s">
        <v>537</v>
      </c>
      <c r="O208" s="69" t="s">
        <v>54</v>
      </c>
      <c r="P208" s="77"/>
      <c r="Q208" s="236" cm="1">
        <f t="array" ref="Q208">IF(O201="Nee",0,IF(ISBLANK(P208),INDEX(ProcesCost2[[#All],[Geen]:[Waarde MIN]],_xlfn.XMATCH('SCENARIO 1 - Gemiddeld'!N208,ProcesCost2[[#All],[Verwerking - Kosten]]),_xlfn.XMATCH('SCENARIO 1 - Gemiddeld'!O208,ProcesCost2[[#Headers],[Geen]:[Waarde MIN]])),P208))</f>
        <v>20</v>
      </c>
      <c r="R208" s="185" t="s">
        <v>178</v>
      </c>
      <c r="T208" s="237" t="s">
        <v>821</v>
      </c>
      <c r="U208" s="69" t="s">
        <v>54</v>
      </c>
      <c r="V208" s="77"/>
      <c r="W208" s="236" cm="1">
        <f t="array" ref="W208">IF(U201="Nee",0,IF(ISBLANK(V208),INDEX(ProcesCost2[[#All],[Geen]:[Waarde MIN]],_xlfn.XMATCH('SCENARIO 1 - Gemiddeld'!T208,ProcesCost2[[#All],[Verwerking - Kosten]]),_xlfn.XMATCH('SCENARIO 1 - Gemiddeld'!U208,ProcesCost2[[#Headers],[Geen]:[Waarde MIN]])),V208))</f>
        <v>7.5</v>
      </c>
      <c r="X208" s="185" t="s">
        <v>178</v>
      </c>
      <c r="Z208" s="237" t="s">
        <v>177</v>
      </c>
      <c r="AA208" s="69" t="s">
        <v>54</v>
      </c>
      <c r="AB208" s="77"/>
      <c r="AC208" s="236" cm="1">
        <f t="array" ref="AC208">IF(AA201="Nee",0,IF(ISBLANK(AB208),INDEX(ProcesCost2[[#All],[Geen]:[Waarde MIN]],_xlfn.XMATCH('SCENARIO 1 - Gemiddeld'!Z208,ProcesCost2[[#All],[Verwerking - Kosten]]),_xlfn.XMATCH('SCENARIO 1 - Gemiddeld'!AA208,ProcesCost2[[#Headers],[Geen]:[Waarde MIN]])),AB208))</f>
        <v>7.5</v>
      </c>
      <c r="AD208" s="185" t="s">
        <v>178</v>
      </c>
      <c r="AF208" s="237" t="s">
        <v>177</v>
      </c>
      <c r="AG208" s="69" t="s">
        <v>54</v>
      </c>
      <c r="AH208" s="77"/>
      <c r="AI208" s="236" cm="1">
        <f t="array" ref="AI208">IF(AG201="Nee",0,IF(ISBLANK(AH208),INDEX(ProcesCost2[[#All],[Geen]:[Waarde MIN]],_xlfn.XMATCH('SCENARIO 1 - Gemiddeld'!AF208,ProcesCost2[[#All],[Verwerking - Kosten]]),_xlfn.XMATCH('SCENARIO 1 - Gemiddeld'!AG208,ProcesCost2[[#Headers],[Geen]:[Waarde MIN]])),AH208))</f>
        <v>7.5</v>
      </c>
      <c r="AJ208" s="185" t="s">
        <v>178</v>
      </c>
    </row>
    <row r="209" spans="8:36" ht="18" thickTop="1" thickBot="1" x14ac:dyDescent="0.25">
      <c r="H209" s="206" t="s">
        <v>179</v>
      </c>
      <c r="I209" s="69" t="s">
        <v>54</v>
      </c>
      <c r="J209" s="76"/>
      <c r="K209" s="241" cm="1">
        <f t="array" ref="K209">INDEX(ProcesCost21[[#All],[Geen]:[Waarde MIN]],_xlfn.XMATCH('SCENARIO 1 - Gemiddeld'!H208,ProcesCost21[[#All],[Verwerking - Producteffciency]]),_xlfn.XMATCH('SCENARIO 1 - Gemiddeld'!I209,ProcesCost21[[#Headers],[Geen]:[Waarde MIN]]))</f>
        <v>0.95</v>
      </c>
      <c r="L209" s="185" t="s">
        <v>58</v>
      </c>
      <c r="N209" s="206" t="s">
        <v>179</v>
      </c>
      <c r="O209" s="69" t="s">
        <v>54</v>
      </c>
      <c r="P209" s="76"/>
      <c r="Q209" s="241" cm="1">
        <f t="array" ref="Q209">INDEX(ProcesCost21[[#All],[Geen]:[Waarde MIN]],_xlfn.XMATCH('SCENARIO 1 - Gemiddeld'!N208,ProcesCost21[[#All],[Verwerking - Producteffciency]]),_xlfn.XMATCH('SCENARIO 1 - Gemiddeld'!O209,ProcesCost21[[#Headers],[Geen]:[Waarde MIN]]))</f>
        <v>0.95</v>
      </c>
      <c r="R209" s="185" t="s">
        <v>58</v>
      </c>
      <c r="T209" s="206" t="s">
        <v>179</v>
      </c>
      <c r="U209" s="69" t="s">
        <v>54</v>
      </c>
      <c r="V209" s="76"/>
      <c r="W209" s="241" cm="1">
        <f t="array" ref="W209">INDEX(ProcesCost21[[#All],[Geen]:[Waarde MIN]],_xlfn.XMATCH('SCENARIO 1 - Gemiddeld'!T208,ProcesCost21[[#All],[Verwerking - Producteffciency]]),_xlfn.XMATCH('SCENARIO 1 - Gemiddeld'!U209,ProcesCost21[[#Headers],[Geen]:[Waarde MIN]]))</f>
        <v>0.95</v>
      </c>
      <c r="X209" s="185" t="s">
        <v>58</v>
      </c>
      <c r="Z209" s="206" t="s">
        <v>179</v>
      </c>
      <c r="AA209" s="69" t="s">
        <v>54</v>
      </c>
      <c r="AB209" s="76"/>
      <c r="AC209" s="241" cm="1">
        <f t="array" ref="AC209">INDEX(ProcesCost21[[#All],[Geen]:[Waarde MIN]],_xlfn.XMATCH('SCENARIO 1 - Gemiddeld'!Z208,ProcesCost21[[#All],[Verwerking - Producteffciency]]),_xlfn.XMATCH('SCENARIO 1 - Gemiddeld'!AA209,ProcesCost21[[#Headers],[Geen]:[Waarde MIN]]))</f>
        <v>0.95</v>
      </c>
      <c r="AD209" s="185" t="s">
        <v>58</v>
      </c>
      <c r="AF209" s="206" t="s">
        <v>179</v>
      </c>
      <c r="AG209" s="69" t="s">
        <v>54</v>
      </c>
      <c r="AH209" s="76"/>
      <c r="AI209" s="241" cm="1">
        <f t="array" ref="AI209">INDEX(ProcesCost21[[#All],[Geen]:[Waarde MIN]],_xlfn.XMATCH('SCENARIO 1 - Gemiddeld'!AF208,ProcesCost21[[#All],[Verwerking - Producteffciency]]),_xlfn.XMATCH('SCENARIO 1 - Gemiddeld'!AG209,ProcesCost21[[#Headers],[Geen]:[Waarde MIN]]))</f>
        <v>0.95</v>
      </c>
      <c r="AJ209" s="185" t="s">
        <v>58</v>
      </c>
    </row>
    <row r="210" spans="8:36" ht="17" thickTop="1" x14ac:dyDescent="0.2">
      <c r="H210" s="207" t="s">
        <v>180</v>
      </c>
      <c r="I210" s="171"/>
      <c r="J210" s="264"/>
      <c r="K210" s="174">
        <f>IFERROR(IF(ISBLANK(J210),K202*K208,J210),0)</f>
        <v>1208.3333333333333</v>
      </c>
      <c r="L210" s="80" t="s">
        <v>102</v>
      </c>
      <c r="N210" s="207" t="s">
        <v>180</v>
      </c>
      <c r="O210" s="171"/>
      <c r="P210" s="264"/>
      <c r="Q210" s="174">
        <f>IFERROR(IF(ISBLANK(P210),Q202*Q208,P210),0)</f>
        <v>510.20408163265307</v>
      </c>
      <c r="R210" s="80" t="s">
        <v>102</v>
      </c>
      <c r="T210" s="207" t="s">
        <v>180</v>
      </c>
      <c r="U210" s="171"/>
      <c r="V210" s="264"/>
      <c r="W210" s="174">
        <f>IFERROR(IF(ISBLANK(V210),W202*W208,V210),0)</f>
        <v>1208.3333333333333</v>
      </c>
      <c r="X210" s="80" t="s">
        <v>102</v>
      </c>
      <c r="Z210" s="207" t="s">
        <v>180</v>
      </c>
      <c r="AA210" s="171"/>
      <c r="AB210" s="264"/>
      <c r="AC210" s="174">
        <f>IFERROR(IF(ISBLANK(AB210),AC202*AC208,AB210),0)</f>
        <v>1009.0206185567012</v>
      </c>
      <c r="AD210" s="80" t="s">
        <v>102</v>
      </c>
      <c r="AF210" s="207" t="s">
        <v>180</v>
      </c>
      <c r="AG210" s="171"/>
      <c r="AH210" s="264"/>
      <c r="AI210" s="174">
        <f>IFERROR(IF(ISBLANK(AH210),AI202*AI208,AH210),0)</f>
        <v>1166.6666666666665</v>
      </c>
      <c r="AJ210" s="80" t="s">
        <v>102</v>
      </c>
    </row>
    <row r="211" spans="8:36" x14ac:dyDescent="0.2">
      <c r="H211" s="207" t="s">
        <v>181</v>
      </c>
      <c r="I211" s="171"/>
      <c r="J211" s="171"/>
      <c r="K211" s="259">
        <f>IF(I201="Nee",0,K202*K209)</f>
        <v>153.05555555555554</v>
      </c>
      <c r="L211" s="80" t="s">
        <v>86</v>
      </c>
      <c r="N211" s="207" t="s">
        <v>181</v>
      </c>
      <c r="O211" s="171"/>
      <c r="P211" s="171"/>
      <c r="Q211" s="259">
        <f>IF(O201="Nee",0,Q202*Q209)</f>
        <v>24.23469387755102</v>
      </c>
      <c r="R211" s="80" t="s">
        <v>86</v>
      </c>
      <c r="T211" s="207" t="s">
        <v>181</v>
      </c>
      <c r="U211" s="171"/>
      <c r="V211" s="171"/>
      <c r="W211" s="259">
        <f>IF(U201="Nee",0,W202*W209)</f>
        <v>153.05555555555554</v>
      </c>
      <c r="X211" s="80" t="s">
        <v>86</v>
      </c>
      <c r="Z211" s="207" t="s">
        <v>181</v>
      </c>
      <c r="AA211" s="171"/>
      <c r="AB211" s="171"/>
      <c r="AC211" s="259">
        <f>IF(AA201="Nee",0,AC202*AC209)</f>
        <v>127.80927835051547</v>
      </c>
      <c r="AD211" s="80" t="s">
        <v>86</v>
      </c>
      <c r="AF211" s="207" t="s">
        <v>181</v>
      </c>
      <c r="AG211" s="171"/>
      <c r="AH211" s="171"/>
      <c r="AI211" s="259">
        <f>IF(AG201="Nee",0,AI202*AI209)</f>
        <v>147.77777777777777</v>
      </c>
      <c r="AJ211" s="80" t="s">
        <v>86</v>
      </c>
    </row>
    <row r="212" spans="8:36" x14ac:dyDescent="0.2">
      <c r="H212" s="207" t="s">
        <v>120</v>
      </c>
      <c r="I212" s="171"/>
      <c r="J212" s="171"/>
      <c r="K212" s="259">
        <f>IF(I201="Nee",0,K202-K211)</f>
        <v>8.0555555555555713</v>
      </c>
      <c r="L212" s="80" t="s">
        <v>86</v>
      </c>
      <c r="N212" s="207" t="s">
        <v>120</v>
      </c>
      <c r="O212" s="171"/>
      <c r="P212" s="171"/>
      <c r="Q212" s="259">
        <f>IF(O201="Nee",0,Q202-Q211)</f>
        <v>1.275510204081634</v>
      </c>
      <c r="R212" s="80" t="s">
        <v>86</v>
      </c>
      <c r="T212" s="207" t="s">
        <v>120</v>
      </c>
      <c r="U212" s="171"/>
      <c r="V212" s="171"/>
      <c r="W212" s="259">
        <f>IF(U201="Nee",0,W202-W211)</f>
        <v>8.0555555555555713</v>
      </c>
      <c r="X212" s="80" t="s">
        <v>86</v>
      </c>
      <c r="Z212" s="207" t="s">
        <v>120</v>
      </c>
      <c r="AA212" s="171"/>
      <c r="AB212" s="171"/>
      <c r="AC212" s="259">
        <f>IF(AA201="Nee",0,AC202-AC211)</f>
        <v>6.7268041237113465</v>
      </c>
      <c r="AD212" s="80" t="s">
        <v>86</v>
      </c>
      <c r="AF212" s="207" t="s">
        <v>120</v>
      </c>
      <c r="AG212" s="171"/>
      <c r="AH212" s="171"/>
      <c r="AI212" s="259">
        <f>IF(AG201="Nee",0,AI202-AI211)</f>
        <v>7.7777777777777715</v>
      </c>
      <c r="AJ212" s="80" t="s">
        <v>86</v>
      </c>
    </row>
    <row r="213" spans="8:36" ht="17" thickBot="1" x14ac:dyDescent="0.25">
      <c r="H213" s="79"/>
      <c r="I213" s="171"/>
      <c r="J213" s="171"/>
      <c r="K213" s="171"/>
      <c r="L213" s="80"/>
      <c r="N213" s="79"/>
      <c r="O213" s="171"/>
      <c r="P213" s="171"/>
      <c r="Q213" s="171"/>
      <c r="R213" s="80"/>
      <c r="T213" s="79"/>
      <c r="U213" s="171"/>
      <c r="V213" s="171"/>
      <c r="W213" s="171"/>
      <c r="X213" s="80"/>
      <c r="Z213" s="79"/>
      <c r="AA213" s="171"/>
      <c r="AB213" s="171"/>
      <c r="AC213" s="171"/>
      <c r="AD213" s="80"/>
      <c r="AF213" s="79"/>
      <c r="AG213" s="171"/>
      <c r="AH213" s="171"/>
      <c r="AI213" s="171"/>
      <c r="AJ213" s="80"/>
    </row>
    <row r="214" spans="8:36" ht="18" thickTop="1" thickBot="1" x14ac:dyDescent="0.25">
      <c r="H214" s="205" t="s">
        <v>182</v>
      </c>
      <c r="I214" s="69" t="s">
        <v>76</v>
      </c>
      <c r="J214" s="171"/>
      <c r="K214" s="171"/>
      <c r="L214" s="80"/>
      <c r="N214" s="205" t="s">
        <v>182</v>
      </c>
      <c r="O214" s="69" t="s">
        <v>76</v>
      </c>
      <c r="P214" s="171"/>
      <c r="Q214" s="171"/>
      <c r="R214" s="80"/>
      <c r="T214" s="205" t="s">
        <v>182</v>
      </c>
      <c r="U214" s="69" t="s">
        <v>76</v>
      </c>
      <c r="V214" s="171"/>
      <c r="W214" s="171"/>
      <c r="X214" s="80"/>
      <c r="Z214" s="205" t="s">
        <v>182</v>
      </c>
      <c r="AA214" s="69" t="s">
        <v>167</v>
      </c>
      <c r="AB214" s="171"/>
      <c r="AC214" s="171"/>
      <c r="AD214" s="80"/>
      <c r="AF214" s="205" t="s">
        <v>182</v>
      </c>
      <c r="AG214" s="69" t="s">
        <v>167</v>
      </c>
      <c r="AH214" s="171"/>
      <c r="AI214" s="171"/>
      <c r="AJ214" s="80"/>
    </row>
    <row r="215" spans="8:36" ht="17" thickTop="1" x14ac:dyDescent="0.2">
      <c r="H215" s="201" t="s">
        <v>173</v>
      </c>
      <c r="I215" s="171"/>
      <c r="J215" s="171"/>
      <c r="K215" s="219">
        <f>K211</f>
        <v>153.05555555555554</v>
      </c>
      <c r="L215" s="80" t="s">
        <v>86</v>
      </c>
      <c r="N215" s="201" t="s">
        <v>173</v>
      </c>
      <c r="O215" s="171"/>
      <c r="P215" s="171"/>
      <c r="Q215" s="219">
        <f>Q211</f>
        <v>24.23469387755102</v>
      </c>
      <c r="R215" s="80" t="s">
        <v>86</v>
      </c>
      <c r="T215" s="201" t="s">
        <v>173</v>
      </c>
      <c r="U215" s="171"/>
      <c r="V215" s="171"/>
      <c r="W215" s="219">
        <f>W211</f>
        <v>153.05555555555554</v>
      </c>
      <c r="X215" s="80" t="s">
        <v>86</v>
      </c>
      <c r="Z215" s="201" t="s">
        <v>173</v>
      </c>
      <c r="AA215" s="171"/>
      <c r="AB215" s="171"/>
      <c r="AC215" s="219">
        <f>AC211</f>
        <v>127.80927835051547</v>
      </c>
      <c r="AD215" s="80" t="s">
        <v>86</v>
      </c>
      <c r="AF215" s="201" t="s">
        <v>173</v>
      </c>
      <c r="AG215" s="171"/>
      <c r="AH215" s="171"/>
      <c r="AI215" s="219">
        <f>AI211</f>
        <v>147.77777777777777</v>
      </c>
      <c r="AJ215" s="80" t="s">
        <v>86</v>
      </c>
    </row>
    <row r="216" spans="8:36" x14ac:dyDescent="0.2">
      <c r="H216" s="260" t="s">
        <v>95</v>
      </c>
      <c r="I216" s="90" t="s">
        <v>25</v>
      </c>
      <c r="J216" s="92" t="s">
        <v>26</v>
      </c>
      <c r="K216" s="171"/>
      <c r="L216" s="80"/>
      <c r="N216" s="260" t="s">
        <v>95</v>
      </c>
      <c r="O216" s="90" t="s">
        <v>25</v>
      </c>
      <c r="P216" s="92" t="s">
        <v>26</v>
      </c>
      <c r="Q216" s="171"/>
      <c r="R216" s="80"/>
      <c r="T216" s="260" t="s">
        <v>95</v>
      </c>
      <c r="U216" s="90" t="s">
        <v>25</v>
      </c>
      <c r="V216" s="92" t="s">
        <v>26</v>
      </c>
      <c r="W216" s="171"/>
      <c r="X216" s="80"/>
      <c r="Z216" s="260" t="s">
        <v>95</v>
      </c>
      <c r="AA216" s="90" t="s">
        <v>25</v>
      </c>
      <c r="AB216" s="92" t="s">
        <v>26</v>
      </c>
      <c r="AC216" s="171"/>
      <c r="AD216" s="80"/>
      <c r="AF216" s="260" t="s">
        <v>95</v>
      </c>
      <c r="AG216" s="90" t="s">
        <v>25</v>
      </c>
      <c r="AH216" s="92" t="s">
        <v>26</v>
      </c>
      <c r="AI216" s="171"/>
      <c r="AJ216" s="80"/>
    </row>
    <row r="217" spans="8:36" ht="17" thickBot="1" x14ac:dyDescent="0.25">
      <c r="H217" s="187" t="s">
        <v>174</v>
      </c>
      <c r="I217" s="171"/>
      <c r="J217" s="62">
        <v>85</v>
      </c>
      <c r="K217" s="104">
        <f>J217</f>
        <v>85</v>
      </c>
      <c r="L217" s="185" t="s">
        <v>97</v>
      </c>
      <c r="N217" s="187" t="s">
        <v>174</v>
      </c>
      <c r="O217" s="171"/>
      <c r="P217" s="62">
        <v>85</v>
      </c>
      <c r="Q217" s="104">
        <f>P217</f>
        <v>85</v>
      </c>
      <c r="R217" s="185" t="s">
        <v>97</v>
      </c>
      <c r="T217" s="187" t="s">
        <v>174</v>
      </c>
      <c r="U217" s="171"/>
      <c r="V217" s="62">
        <v>85</v>
      </c>
      <c r="W217" s="104">
        <f>V217</f>
        <v>85</v>
      </c>
      <c r="X217" s="185" t="s">
        <v>97</v>
      </c>
      <c r="Z217" s="187" t="s">
        <v>174</v>
      </c>
      <c r="AA217" s="171"/>
      <c r="AB217" s="62">
        <v>0</v>
      </c>
      <c r="AC217" s="104">
        <f>AB217</f>
        <v>0</v>
      </c>
      <c r="AD217" s="185" t="s">
        <v>97</v>
      </c>
      <c r="AF217" s="187" t="s">
        <v>174</v>
      </c>
      <c r="AG217" s="171"/>
      <c r="AH217" s="62">
        <v>0</v>
      </c>
      <c r="AI217" s="104">
        <f>AH217</f>
        <v>0</v>
      </c>
      <c r="AJ217" s="185" t="s">
        <v>97</v>
      </c>
    </row>
    <row r="218" spans="8:36" ht="18" thickTop="1" thickBot="1" x14ac:dyDescent="0.25">
      <c r="H218" s="237" t="s">
        <v>99</v>
      </c>
      <c r="I218" s="69" t="s">
        <v>54</v>
      </c>
      <c r="J218" s="62"/>
      <c r="K218" s="236" cm="1">
        <f t="array" ref="K218">IF(ISBLANK(J218),INDEX(ProcesCost01[[#All],[Geen]:[Waarde MIN]],_xlfn.XMATCH('SCENARIO 1 - Gemiddeld'!H218,ProcesCost01[[#All],[Transportkosten]]),_xlfn.XMATCH('SCENARIO 1 - Gemiddeld'!I218,ProcesCost01[[#Headers],[Geen]:[Waarde MIN]])),J218)</f>
        <v>0.04</v>
      </c>
      <c r="L218" s="185" t="s">
        <v>100</v>
      </c>
      <c r="N218" s="237" t="s">
        <v>99</v>
      </c>
      <c r="O218" s="69" t="s">
        <v>54</v>
      </c>
      <c r="P218" s="62"/>
      <c r="Q218" s="236" cm="1">
        <f t="array" ref="Q218">IF(ISBLANK(P218),INDEX(ProcesCost01[[#All],[Geen]:[Waarde MIN]],_xlfn.XMATCH('SCENARIO 1 - Gemiddeld'!N218,ProcesCost01[[#All],[Transportkosten]]),_xlfn.XMATCH('SCENARIO 1 - Gemiddeld'!O218,ProcesCost01[[#Headers],[Geen]:[Waarde MIN]])),P218)</f>
        <v>0.04</v>
      </c>
      <c r="R218" s="185" t="s">
        <v>100</v>
      </c>
      <c r="T218" s="237" t="s">
        <v>99</v>
      </c>
      <c r="U218" s="69" t="s">
        <v>54</v>
      </c>
      <c r="V218" s="62"/>
      <c r="W218" s="236" cm="1">
        <f t="array" ref="W218">IF(ISBLANK(V218),INDEX(ProcesCost01[[#All],[Geen]:[Waarde MIN]],_xlfn.XMATCH('SCENARIO 1 - Gemiddeld'!T218,ProcesCost01[[#All],[Transportkosten]]),_xlfn.XMATCH('SCENARIO 1 - Gemiddeld'!U218,ProcesCost01[[#Headers],[Geen]:[Waarde MIN]])),V218)</f>
        <v>0.04</v>
      </c>
      <c r="X218" s="185" t="s">
        <v>100</v>
      </c>
      <c r="Z218" s="237" t="s">
        <v>99</v>
      </c>
      <c r="AA218" s="69" t="s">
        <v>54</v>
      </c>
      <c r="AB218" s="62"/>
      <c r="AC218" s="236" cm="1">
        <f t="array" ref="AC218">IF(ISBLANK(AB218),INDEX(ProcesCost01[[#All],[Geen]:[Waarde MIN]],_xlfn.XMATCH('SCENARIO 1 - Gemiddeld'!Z218,ProcesCost01[[#All],[Transportkosten]]),_xlfn.XMATCH('SCENARIO 1 - Gemiddeld'!AA218,ProcesCost01[[#Headers],[Geen]:[Waarde MIN]])),AB218)</f>
        <v>0.04</v>
      </c>
      <c r="AD218" s="185" t="s">
        <v>100</v>
      </c>
      <c r="AF218" s="237" t="s">
        <v>99</v>
      </c>
      <c r="AG218" s="69" t="s">
        <v>54</v>
      </c>
      <c r="AH218" s="62"/>
      <c r="AI218" s="236" cm="1">
        <f t="array" ref="AI218">IF(ISBLANK(AH218),INDEX(ProcesCost01[[#All],[Geen]:[Waarde MIN]],_xlfn.XMATCH('SCENARIO 1 - Gemiddeld'!AF218,ProcesCost01[[#All],[Transportkosten]]),_xlfn.XMATCH('SCENARIO 1 - Gemiddeld'!AG218,ProcesCost01[[#Headers],[Geen]:[Waarde MIN]])),AH218)</f>
        <v>0.04</v>
      </c>
      <c r="AJ218" s="185" t="s">
        <v>100</v>
      </c>
    </row>
    <row r="219" spans="8:36" ht="17" thickTop="1" x14ac:dyDescent="0.2">
      <c r="H219" s="207" t="s">
        <v>175</v>
      </c>
      <c r="I219" s="171"/>
      <c r="J219" s="62"/>
      <c r="K219" s="192">
        <f>IF(I214="Nee",0,IF(ISBLANK(J219),K217*K218*K215,J219))</f>
        <v>0</v>
      </c>
      <c r="L219" s="80" t="s">
        <v>102</v>
      </c>
      <c r="N219" s="207" t="s">
        <v>175</v>
      </c>
      <c r="O219" s="171"/>
      <c r="P219" s="62"/>
      <c r="Q219" s="192">
        <f>IF(O214="Nee",0,IF(ISBLANK(P219),Q217*Q218*Q215,P219))</f>
        <v>0</v>
      </c>
      <c r="R219" s="80" t="s">
        <v>102</v>
      </c>
      <c r="T219" s="207" t="s">
        <v>175</v>
      </c>
      <c r="U219" s="171"/>
      <c r="V219" s="62"/>
      <c r="W219" s="192">
        <f>IF(U214="Nee",0,IF(ISBLANK(V219),W217*W218*W215,V219))</f>
        <v>0</v>
      </c>
      <c r="X219" s="80" t="s">
        <v>102</v>
      </c>
      <c r="Z219" s="187" t="s">
        <v>175</v>
      </c>
      <c r="AA219" s="171"/>
      <c r="AB219" s="62"/>
      <c r="AC219" s="192">
        <f>IF(AA214="Nee",0,IF(ISBLANK(AB219),AC217*AC218*AC215,AB219))</f>
        <v>0</v>
      </c>
      <c r="AD219" s="80" t="s">
        <v>102</v>
      </c>
      <c r="AF219" s="207" t="s">
        <v>175</v>
      </c>
      <c r="AG219" s="171"/>
      <c r="AH219" s="62"/>
      <c r="AI219" s="192">
        <f>IF(AG214="Nee",0,IF(ISBLANK(AH219),AI217*AI218*AI215,AH219))</f>
        <v>0</v>
      </c>
      <c r="AJ219" s="80" t="s">
        <v>102</v>
      </c>
    </row>
    <row r="220" spans="8:36" ht="17" thickBot="1" x14ac:dyDescent="0.25">
      <c r="H220" s="260" t="s">
        <v>176</v>
      </c>
      <c r="I220" s="90" t="s">
        <v>25</v>
      </c>
      <c r="J220" s="92" t="s">
        <v>26</v>
      </c>
      <c r="K220" s="171"/>
      <c r="L220" s="80"/>
      <c r="N220" s="260" t="s">
        <v>176</v>
      </c>
      <c r="O220" s="90" t="s">
        <v>25</v>
      </c>
      <c r="P220" s="92" t="s">
        <v>26</v>
      </c>
      <c r="Q220" s="171"/>
      <c r="R220" s="80"/>
      <c r="T220" s="260" t="s">
        <v>176</v>
      </c>
      <c r="U220" s="90" t="s">
        <v>25</v>
      </c>
      <c r="V220" s="92" t="s">
        <v>26</v>
      </c>
      <c r="W220" s="171"/>
      <c r="X220" s="80"/>
      <c r="Z220" s="260" t="s">
        <v>176</v>
      </c>
      <c r="AA220" s="90" t="s">
        <v>25</v>
      </c>
      <c r="AB220" s="92" t="s">
        <v>26</v>
      </c>
      <c r="AC220" s="171"/>
      <c r="AD220" s="80"/>
      <c r="AF220" s="260" t="s">
        <v>176</v>
      </c>
      <c r="AG220" s="90" t="s">
        <v>25</v>
      </c>
      <c r="AH220" s="92" t="s">
        <v>26</v>
      </c>
      <c r="AI220" s="171"/>
      <c r="AJ220" s="80"/>
    </row>
    <row r="221" spans="8:36" ht="18" thickTop="1" thickBot="1" x14ac:dyDescent="0.25">
      <c r="H221" s="237" t="s">
        <v>184</v>
      </c>
      <c r="I221" s="69" t="s">
        <v>54</v>
      </c>
      <c r="J221" s="77"/>
      <c r="K221" s="236" cm="1">
        <f t="array" ref="K221">IF(I214="Nee",0,IF(ISBLANK(J221),INDEX(ProcesCost2[[#All],[Geen]:[Waarde MIN]],_xlfn.XMATCH('SCENARIO 1 - Gemiddeld'!H221,ProcesCost2[[#All],[Verwerking - Kosten]]),_xlfn.XMATCH('SCENARIO 1 - Gemiddeld'!I221,ProcesCost2[[#Headers],[Geen]:[Waarde MIN]])),J221))</f>
        <v>0</v>
      </c>
      <c r="L221" s="185" t="s">
        <v>178</v>
      </c>
      <c r="N221" s="237" t="s">
        <v>184</v>
      </c>
      <c r="O221" s="69" t="s">
        <v>54</v>
      </c>
      <c r="P221" s="77"/>
      <c r="Q221" s="236" cm="1">
        <f t="array" ref="Q221">IF(O214="Nee",0,IF(ISBLANK(P221),INDEX(ProcesCost2[[#All],[Geen]:[Waarde MIN]],_xlfn.XMATCH('SCENARIO 1 - Gemiddeld'!N221,ProcesCost2[[#All],[Verwerking - Kosten]]),_xlfn.XMATCH('SCENARIO 1 - Gemiddeld'!O221,ProcesCost2[[#Headers],[Geen]:[Waarde MIN]])),P221))</f>
        <v>0</v>
      </c>
      <c r="R221" s="185" t="s">
        <v>178</v>
      </c>
      <c r="T221" s="237" t="s">
        <v>537</v>
      </c>
      <c r="U221" s="69" t="s">
        <v>54</v>
      </c>
      <c r="V221" s="77"/>
      <c r="W221" s="236" cm="1">
        <f t="array" ref="W221">IF(U214="Nee",0,IF(ISBLANK(V221),INDEX(ProcesCost2[[#All],[Geen]:[Waarde MIN]],_xlfn.XMATCH('SCENARIO 1 - Gemiddeld'!T221,ProcesCost2[[#All],[Verwerking - Kosten]]),_xlfn.XMATCH('SCENARIO 1 - Gemiddeld'!U221,ProcesCost2[[#Headers],[Geen]:[Waarde MIN]])),V221))</f>
        <v>0</v>
      </c>
      <c r="X221" s="185" t="s">
        <v>178</v>
      </c>
      <c r="Z221" s="237" t="s">
        <v>184</v>
      </c>
      <c r="AA221" s="69" t="s">
        <v>54</v>
      </c>
      <c r="AB221" s="77"/>
      <c r="AC221" s="236" cm="1">
        <f t="array" ref="AC221">IF(AA214="Nee",0,IF(ISBLANK(AB221),INDEX(ProcesCost2[[#All],[Geen]:[Waarde MIN]],_xlfn.XMATCH('SCENARIO 1 - Gemiddeld'!Z221,ProcesCost2[[#All],[Verwerking - Kosten]]),_xlfn.XMATCH('SCENARIO 1 - Gemiddeld'!AA221,ProcesCost2[[#Headers],[Geen]:[Waarde MIN]])),AB221))</f>
        <v>7.5</v>
      </c>
      <c r="AD221" s="185" t="s">
        <v>178</v>
      </c>
      <c r="AF221" s="237" t="s">
        <v>184</v>
      </c>
      <c r="AG221" s="69" t="s">
        <v>54</v>
      </c>
      <c r="AH221" s="77"/>
      <c r="AI221" s="236" cm="1">
        <f t="array" ref="AI221">IF(AG214="Nee",0,IF(ISBLANK(AH221),INDEX(ProcesCost2[[#All],[Geen]:[Waarde MIN]],_xlfn.XMATCH('SCENARIO 1 - Gemiddeld'!AF221,ProcesCost2[[#All],[Verwerking - Kosten]]),_xlfn.XMATCH('SCENARIO 1 - Gemiddeld'!AG221,ProcesCost2[[#Headers],[Geen]:[Waarde MIN]])),AH221))</f>
        <v>7.5</v>
      </c>
      <c r="AJ221" s="185" t="s">
        <v>178</v>
      </c>
    </row>
    <row r="222" spans="8:36" ht="18" thickTop="1" thickBot="1" x14ac:dyDescent="0.25">
      <c r="H222" s="206" t="s">
        <v>179</v>
      </c>
      <c r="I222" s="69" t="s">
        <v>54</v>
      </c>
      <c r="J222" s="76"/>
      <c r="K222" s="241" cm="1">
        <f t="array" ref="K222">INDEX(ProcesCost21[[#All],[Geen]:[Waarde MIN]],_xlfn.XMATCH('SCENARIO 1 - Gemiddeld'!H221,ProcesCost21[[#All],[Verwerking - Producteffciency]]),_xlfn.XMATCH('SCENARIO 1 - Gemiddeld'!I222,ProcesCost21[[#Headers],[Geen]:[Waarde MIN]]))</f>
        <v>0.95</v>
      </c>
      <c r="L222" s="185" t="s">
        <v>58</v>
      </c>
      <c r="N222" s="206" t="s">
        <v>179</v>
      </c>
      <c r="O222" s="69" t="s">
        <v>54</v>
      </c>
      <c r="P222" s="76"/>
      <c r="Q222" s="241" cm="1">
        <f t="array" ref="Q222">INDEX(ProcesCost21[[#All],[Geen]:[Waarde MIN]],_xlfn.XMATCH('SCENARIO 1 - Gemiddeld'!N221,ProcesCost21[[#All],[Verwerking - Producteffciency]]),_xlfn.XMATCH('SCENARIO 1 - Gemiddeld'!O222,ProcesCost21[[#Headers],[Geen]:[Waarde MIN]]))</f>
        <v>0.95</v>
      </c>
      <c r="R222" s="185" t="s">
        <v>58</v>
      </c>
      <c r="T222" s="206" t="s">
        <v>179</v>
      </c>
      <c r="U222" s="69" t="s">
        <v>54</v>
      </c>
      <c r="V222" s="76"/>
      <c r="W222" s="241" cm="1">
        <f t="array" ref="W222">INDEX(ProcesCost21[[#All],[Geen]:[Waarde MIN]],_xlfn.XMATCH('SCENARIO 1 - Gemiddeld'!T221,ProcesCost21[[#All],[Verwerking - Producteffciency]]),_xlfn.XMATCH('SCENARIO 1 - Gemiddeld'!U222,ProcesCost21[[#Headers],[Geen]:[Waarde MIN]]))</f>
        <v>0.95</v>
      </c>
      <c r="X222" s="185" t="s">
        <v>58</v>
      </c>
      <c r="Z222" s="206" t="s">
        <v>179</v>
      </c>
      <c r="AA222" s="69" t="s">
        <v>54</v>
      </c>
      <c r="AB222" s="76"/>
      <c r="AC222" s="241" cm="1">
        <f t="array" ref="AC222">INDEX(ProcesCost21[[#All],[Geen]:[Waarde MIN]],_xlfn.XMATCH('SCENARIO 1 - Gemiddeld'!Z221,ProcesCost21[[#All],[Verwerking - Producteffciency]]),_xlfn.XMATCH('SCENARIO 1 - Gemiddeld'!AA222,ProcesCost21[[#Headers],[Geen]:[Waarde MIN]]))</f>
        <v>0.95</v>
      </c>
      <c r="AD222" s="185" t="s">
        <v>58</v>
      </c>
      <c r="AF222" s="206" t="s">
        <v>179</v>
      </c>
      <c r="AG222" s="69" t="s">
        <v>54</v>
      </c>
      <c r="AH222" s="76"/>
      <c r="AI222" s="241" cm="1">
        <f t="array" ref="AI222">INDEX(ProcesCost21[[#All],[Geen]:[Waarde MIN]],_xlfn.XMATCH('SCENARIO 1 - Gemiddeld'!AF221,ProcesCost21[[#All],[Verwerking - Producteffciency]]),_xlfn.XMATCH('SCENARIO 1 - Gemiddeld'!AG222,ProcesCost21[[#Headers],[Geen]:[Waarde MIN]]))</f>
        <v>0.95</v>
      </c>
      <c r="AJ222" s="185" t="s">
        <v>58</v>
      </c>
    </row>
    <row r="223" spans="8:36" ht="17" thickTop="1" x14ac:dyDescent="0.2">
      <c r="H223" s="207" t="s">
        <v>180</v>
      </c>
      <c r="I223" s="171"/>
      <c r="J223" s="264"/>
      <c r="K223" s="174">
        <f>IFERROR(IF(ISBLANK(J223),K215*K221,J223),0)</f>
        <v>0</v>
      </c>
      <c r="L223" s="80" t="s">
        <v>102</v>
      </c>
      <c r="N223" s="207" t="s">
        <v>180</v>
      </c>
      <c r="O223" s="171"/>
      <c r="P223" s="264"/>
      <c r="Q223" s="174">
        <f>IFERROR(IF(ISBLANK(P223),Q215*Q221,P223),0)</f>
        <v>0</v>
      </c>
      <c r="R223" s="80" t="s">
        <v>102</v>
      </c>
      <c r="T223" s="207" t="s">
        <v>180</v>
      </c>
      <c r="U223" s="171"/>
      <c r="V223" s="264"/>
      <c r="W223" s="174">
        <f>IFERROR(IF(ISBLANK(V223),W215*W221,V223),0)</f>
        <v>0</v>
      </c>
      <c r="X223" s="80" t="s">
        <v>102</v>
      </c>
      <c r="Z223" s="207" t="s">
        <v>180</v>
      </c>
      <c r="AA223" s="171"/>
      <c r="AB223" s="264"/>
      <c r="AC223" s="174">
        <f>IFERROR(IF(ISBLANK(AB223),AC215*AC221,AB223),0)</f>
        <v>958.56958762886597</v>
      </c>
      <c r="AD223" s="80" t="s">
        <v>102</v>
      </c>
      <c r="AF223" s="207" t="s">
        <v>180</v>
      </c>
      <c r="AG223" s="171"/>
      <c r="AH223" s="264"/>
      <c r="AI223" s="174">
        <f>IFERROR(IF(ISBLANK(AH223),AI215*AI221,AH223),0)</f>
        <v>1108.3333333333333</v>
      </c>
      <c r="AJ223" s="80" t="s">
        <v>102</v>
      </c>
    </row>
    <row r="224" spans="8:36" x14ac:dyDescent="0.2">
      <c r="H224" s="207" t="s">
        <v>181</v>
      </c>
      <c r="I224" s="171"/>
      <c r="J224" s="171"/>
      <c r="K224" s="259">
        <f>IF(I214="Nee",0,K215*K222)</f>
        <v>0</v>
      </c>
      <c r="L224" s="80" t="s">
        <v>86</v>
      </c>
      <c r="N224" s="207" t="s">
        <v>181</v>
      </c>
      <c r="O224" s="171"/>
      <c r="P224" s="171"/>
      <c r="Q224" s="259">
        <f>IF(O214="Nee",0,Q215*Q222)</f>
        <v>0</v>
      </c>
      <c r="R224" s="80" t="s">
        <v>86</v>
      </c>
      <c r="T224" s="207" t="s">
        <v>181</v>
      </c>
      <c r="U224" s="171"/>
      <c r="V224" s="171"/>
      <c r="W224" s="259">
        <f>IF(U214="Nee",0,W215*W222)</f>
        <v>0</v>
      </c>
      <c r="X224" s="80" t="s">
        <v>86</v>
      </c>
      <c r="Z224" s="207" t="s">
        <v>181</v>
      </c>
      <c r="AA224" s="171"/>
      <c r="AB224" s="171"/>
      <c r="AC224" s="259">
        <f>IF(AA214="Nee",0,AC215*AC222)</f>
        <v>121.41881443298969</v>
      </c>
      <c r="AD224" s="80" t="s">
        <v>86</v>
      </c>
      <c r="AF224" s="207" t="s">
        <v>181</v>
      </c>
      <c r="AG224" s="171"/>
      <c r="AH224" s="171"/>
      <c r="AI224" s="259">
        <f>IF(AG214="Nee",0,AI215*AI222)</f>
        <v>140.38888888888889</v>
      </c>
      <c r="AJ224" s="80" t="s">
        <v>86</v>
      </c>
    </row>
    <row r="225" spans="2:36" x14ac:dyDescent="0.2">
      <c r="H225" s="207" t="s">
        <v>120</v>
      </c>
      <c r="I225" s="171"/>
      <c r="J225" s="171"/>
      <c r="K225" s="259">
        <f>IF(I214="Nee",0,K215-K224)</f>
        <v>0</v>
      </c>
      <c r="L225" s="80" t="s">
        <v>86</v>
      </c>
      <c r="N225" s="207" t="s">
        <v>120</v>
      </c>
      <c r="O225" s="171"/>
      <c r="P225" s="171"/>
      <c r="Q225" s="259">
        <f>IF(O214="Nee",0,Q215-Q224)</f>
        <v>0</v>
      </c>
      <c r="R225" s="80" t="s">
        <v>86</v>
      </c>
      <c r="T225" s="207" t="s">
        <v>120</v>
      </c>
      <c r="U225" s="171"/>
      <c r="V225" s="171"/>
      <c r="W225" s="259">
        <f>IF(U214="Nee",0,W215-W224)</f>
        <v>0</v>
      </c>
      <c r="X225" s="80" t="s">
        <v>86</v>
      </c>
      <c r="Z225" s="207" t="s">
        <v>120</v>
      </c>
      <c r="AA225" s="171"/>
      <c r="AB225" s="171"/>
      <c r="AC225" s="259">
        <f>IF(AA214="Nee",0,AC215-AC224)</f>
        <v>6.3904639175257785</v>
      </c>
      <c r="AD225" s="80" t="s">
        <v>86</v>
      </c>
      <c r="AF225" s="207" t="s">
        <v>120</v>
      </c>
      <c r="AG225" s="171"/>
      <c r="AH225" s="171"/>
      <c r="AI225" s="259">
        <f>IF(AG214="Nee",0,AI215-AI224)</f>
        <v>7.3888888888888857</v>
      </c>
      <c r="AJ225" s="80" t="s">
        <v>86</v>
      </c>
    </row>
    <row r="226" spans="2:36" x14ac:dyDescent="0.2">
      <c r="H226" s="79"/>
      <c r="I226" s="171"/>
      <c r="J226" s="171"/>
      <c r="K226" s="171"/>
      <c r="L226" s="80"/>
      <c r="N226" s="79"/>
      <c r="O226" s="171"/>
      <c r="P226" s="171"/>
      <c r="Q226" s="171"/>
      <c r="R226" s="80"/>
      <c r="T226" s="79"/>
      <c r="U226" s="171"/>
      <c r="V226" s="171"/>
      <c r="W226" s="171"/>
      <c r="X226" s="80"/>
      <c r="Z226" s="79"/>
      <c r="AA226" s="171"/>
      <c r="AB226" s="171"/>
      <c r="AC226" s="171"/>
      <c r="AD226" s="80"/>
      <c r="AF226" s="79"/>
      <c r="AG226" s="171"/>
      <c r="AH226" s="171"/>
      <c r="AI226" s="171"/>
      <c r="AJ226" s="80"/>
    </row>
    <row r="227" spans="2:36" x14ac:dyDescent="0.2">
      <c r="H227" s="109" t="s">
        <v>185</v>
      </c>
      <c r="I227" s="171"/>
      <c r="J227" s="171"/>
      <c r="K227" s="171"/>
      <c r="L227" s="80"/>
      <c r="N227" s="109" t="s">
        <v>185</v>
      </c>
      <c r="O227" s="171"/>
      <c r="P227" s="171"/>
      <c r="Q227" s="171"/>
      <c r="R227" s="80"/>
      <c r="T227" s="109" t="s">
        <v>185</v>
      </c>
      <c r="U227" s="171"/>
      <c r="V227" s="171"/>
      <c r="W227" s="171"/>
      <c r="X227" s="80"/>
      <c r="Z227" s="109" t="s">
        <v>185</v>
      </c>
      <c r="AA227" s="171"/>
      <c r="AB227" s="171"/>
      <c r="AC227" s="171"/>
      <c r="AD227" s="80"/>
      <c r="AF227" s="109" t="s">
        <v>185</v>
      </c>
      <c r="AG227" s="171"/>
      <c r="AH227" s="171"/>
      <c r="AI227" s="171"/>
      <c r="AJ227" s="80"/>
    </row>
    <row r="228" spans="2:36" x14ac:dyDescent="0.2">
      <c r="H228" s="207" t="s">
        <v>186</v>
      </c>
      <c r="I228" s="265"/>
      <c r="J228" s="266"/>
      <c r="K228" s="219">
        <f>IF(I214="Ja",K224,IF(I201="Ja",K211,IF(I184="Ja",K198,K182)))</f>
        <v>153.05555555555554</v>
      </c>
      <c r="L228" s="80" t="s">
        <v>86</v>
      </c>
      <c r="N228" s="207" t="s">
        <v>186</v>
      </c>
      <c r="O228" s="267"/>
      <c r="P228" s="267"/>
      <c r="Q228" s="219">
        <f>IF(O214="Ja",Q224,IF(O201="Ja",Q211,IF(O184="Ja",Q198,Q182)))</f>
        <v>24.23469387755102</v>
      </c>
      <c r="R228" s="80" t="s">
        <v>86</v>
      </c>
      <c r="T228" s="207" t="s">
        <v>186</v>
      </c>
      <c r="U228" s="267"/>
      <c r="V228" s="267"/>
      <c r="W228" s="219">
        <f>IF(U214="Ja",W224,IF(U201="Ja",W211,IF(U184="Ja",W198,W182)))</f>
        <v>153.05555555555554</v>
      </c>
      <c r="X228" s="80" t="s">
        <v>86</v>
      </c>
      <c r="Z228" s="207" t="s">
        <v>186</v>
      </c>
      <c r="AA228" s="267"/>
      <c r="AB228" s="267"/>
      <c r="AC228" s="219">
        <f>IF(AA214="Ja",AC224,IF(AA201="Ja",AC211,IF(AA184="Ja",AC198,AC182)))</f>
        <v>121.41881443298969</v>
      </c>
      <c r="AD228" s="80" t="s">
        <v>86</v>
      </c>
      <c r="AF228" s="207" t="s">
        <v>186</v>
      </c>
      <c r="AG228" s="267"/>
      <c r="AH228" s="267"/>
      <c r="AI228" s="219">
        <f>IF(AG214="Ja",AI224,IF(AG201="Ja",AI211,IF(AG184="Ja",AI198,AI182)))</f>
        <v>140.38888888888889</v>
      </c>
      <c r="AJ228" s="80" t="s">
        <v>86</v>
      </c>
    </row>
    <row r="229" spans="2:36" x14ac:dyDescent="0.2">
      <c r="H229" s="260" t="s">
        <v>187</v>
      </c>
      <c r="I229" s="90" t="s">
        <v>25</v>
      </c>
      <c r="J229" s="92" t="s">
        <v>26</v>
      </c>
      <c r="K229" s="219"/>
      <c r="L229" s="80"/>
      <c r="N229" s="260" t="s">
        <v>187</v>
      </c>
      <c r="O229" s="90" t="s">
        <v>25</v>
      </c>
      <c r="P229" s="92" t="s">
        <v>26</v>
      </c>
      <c r="Q229" s="219"/>
      <c r="R229" s="80"/>
      <c r="T229" s="260" t="s">
        <v>187</v>
      </c>
      <c r="U229" s="90" t="s">
        <v>25</v>
      </c>
      <c r="V229" s="92" t="s">
        <v>26</v>
      </c>
      <c r="W229" s="219"/>
      <c r="X229" s="80"/>
      <c r="Z229" s="260" t="s">
        <v>187</v>
      </c>
      <c r="AA229" s="90" t="s">
        <v>25</v>
      </c>
      <c r="AB229" s="92" t="s">
        <v>26</v>
      </c>
      <c r="AC229" s="219"/>
      <c r="AD229" s="80"/>
      <c r="AF229" s="260" t="s">
        <v>187</v>
      </c>
      <c r="AG229" s="90" t="s">
        <v>25</v>
      </c>
      <c r="AH229" s="92" t="s">
        <v>26</v>
      </c>
      <c r="AI229" s="219"/>
      <c r="AJ229" s="80"/>
    </row>
    <row r="230" spans="2:36" ht="17" thickBot="1" x14ac:dyDescent="0.25">
      <c r="H230" s="187" t="s">
        <v>188</v>
      </c>
      <c r="I230" s="171"/>
      <c r="J230" s="62">
        <v>85</v>
      </c>
      <c r="K230" s="104">
        <f>J230</f>
        <v>85</v>
      </c>
      <c r="L230" s="185" t="s">
        <v>97</v>
      </c>
      <c r="N230" s="187" t="s">
        <v>188</v>
      </c>
      <c r="O230" s="171"/>
      <c r="P230" s="62">
        <v>85</v>
      </c>
      <c r="Q230" s="104">
        <f>P230</f>
        <v>85</v>
      </c>
      <c r="R230" s="185" t="s">
        <v>97</v>
      </c>
      <c r="T230" s="187" t="s">
        <v>188</v>
      </c>
      <c r="U230" s="171"/>
      <c r="V230" s="62">
        <v>85</v>
      </c>
      <c r="W230" s="104">
        <f>V230</f>
        <v>85</v>
      </c>
      <c r="X230" s="185" t="s">
        <v>97</v>
      </c>
      <c r="Z230" s="187" t="s">
        <v>188</v>
      </c>
      <c r="AA230" s="171"/>
      <c r="AB230" s="62">
        <v>85</v>
      </c>
      <c r="AC230" s="104">
        <f>AB230</f>
        <v>85</v>
      </c>
      <c r="AD230" s="185" t="s">
        <v>97</v>
      </c>
      <c r="AF230" s="187" t="s">
        <v>188</v>
      </c>
      <c r="AG230" s="171"/>
      <c r="AH230" s="62">
        <v>85</v>
      </c>
      <c r="AI230" s="104">
        <f>AH230</f>
        <v>85</v>
      </c>
      <c r="AJ230" s="185" t="s">
        <v>97</v>
      </c>
    </row>
    <row r="231" spans="2:36" ht="18" thickTop="1" thickBot="1" x14ac:dyDescent="0.25">
      <c r="H231" s="237" t="s">
        <v>99</v>
      </c>
      <c r="I231" s="69" t="s">
        <v>54</v>
      </c>
      <c r="J231" s="62"/>
      <c r="K231" s="236" cm="1">
        <f t="array" ref="K231">IF(ISBLANK(J231),INDEX(ProcesCost01[[#All],[Geen]:[Waarde MIN]],_xlfn.XMATCH('SCENARIO 1 - Gemiddeld'!H231,ProcesCost01[[#All],[Transportkosten]]),_xlfn.XMATCH('SCENARIO 1 - Gemiddeld'!I231,ProcesCost01[[#Headers],[Geen]:[Waarde MIN]])),J231)</f>
        <v>0.04</v>
      </c>
      <c r="L231" s="185" t="s">
        <v>100</v>
      </c>
      <c r="N231" s="237" t="s">
        <v>99</v>
      </c>
      <c r="O231" s="69" t="s">
        <v>54</v>
      </c>
      <c r="P231" s="62"/>
      <c r="Q231" s="236" cm="1">
        <f t="array" ref="Q231">IF(ISBLANK(P231),INDEX(ProcesCost01[[#All],[Geen]:[Waarde MIN]],_xlfn.XMATCH('SCENARIO 1 - Gemiddeld'!N231,ProcesCost01[[#All],[Transportkosten]]),_xlfn.XMATCH('SCENARIO 1 - Gemiddeld'!O231,ProcesCost01[[#Headers],[Geen]:[Waarde MIN]])),P231)</f>
        <v>0.04</v>
      </c>
      <c r="R231" s="185" t="s">
        <v>100</v>
      </c>
      <c r="T231" s="237" t="s">
        <v>99</v>
      </c>
      <c r="U231" s="69" t="s">
        <v>54</v>
      </c>
      <c r="V231" s="62"/>
      <c r="W231" s="236" cm="1">
        <f t="array" ref="W231">IF(ISBLANK(V231),INDEX(ProcesCost01[[#All],[Geen]:[Waarde MIN]],_xlfn.XMATCH('SCENARIO 1 - Gemiddeld'!T231,ProcesCost01[[#All],[Transportkosten]]),_xlfn.XMATCH('SCENARIO 1 - Gemiddeld'!U231,ProcesCost01[[#Headers],[Geen]:[Waarde MIN]])),V231)</f>
        <v>0.04</v>
      </c>
      <c r="X231" s="185" t="s">
        <v>100</v>
      </c>
      <c r="Z231" s="237" t="s">
        <v>99</v>
      </c>
      <c r="AA231" s="69" t="s">
        <v>54</v>
      </c>
      <c r="AB231" s="62"/>
      <c r="AC231" s="236" cm="1">
        <f t="array" ref="AC231">IF(ISBLANK(AB231),INDEX(ProcesCost01[[#All],[Geen]:[Waarde MIN]],_xlfn.XMATCH('SCENARIO 1 - Gemiddeld'!Z231,ProcesCost01[[#All],[Transportkosten]]),_xlfn.XMATCH('SCENARIO 1 - Gemiddeld'!AA231,ProcesCost01[[#Headers],[Geen]:[Waarde MIN]])),AB231)</f>
        <v>0.04</v>
      </c>
      <c r="AD231" s="185" t="s">
        <v>100</v>
      </c>
      <c r="AF231" s="237" t="s">
        <v>99</v>
      </c>
      <c r="AG231" s="69" t="s">
        <v>54</v>
      </c>
      <c r="AH231" s="62"/>
      <c r="AI231" s="236" cm="1">
        <f t="array" ref="AI231">IF(ISBLANK(AH231),INDEX(ProcesCost01[[#All],[Geen]:[Waarde MIN]],_xlfn.XMATCH('SCENARIO 1 - Gemiddeld'!AF231,ProcesCost01[[#All],[Transportkosten]]),_xlfn.XMATCH('SCENARIO 1 - Gemiddeld'!AG231,ProcesCost01[[#Headers],[Geen]:[Waarde MIN]])),AH231)</f>
        <v>0.04</v>
      </c>
      <c r="AJ231" s="185" t="s">
        <v>100</v>
      </c>
    </row>
    <row r="232" spans="2:36" ht="17" thickTop="1" x14ac:dyDescent="0.2">
      <c r="H232" s="207" t="s">
        <v>189</v>
      </c>
      <c r="I232" s="171"/>
      <c r="J232" s="62"/>
      <c r="K232" s="192">
        <f>IF(ISBLANK(J232),K230*K231*K228,J232)</f>
        <v>520.3888888888888</v>
      </c>
      <c r="L232" s="80" t="s">
        <v>102</v>
      </c>
      <c r="N232" s="207" t="s">
        <v>189</v>
      </c>
      <c r="O232" s="171"/>
      <c r="P232" s="62"/>
      <c r="Q232" s="192">
        <f>IF(ISBLANK(P232),Q230*Q231*Q228,P232)</f>
        <v>82.397959183673464</v>
      </c>
      <c r="R232" s="80" t="s">
        <v>102</v>
      </c>
      <c r="T232" s="207" t="s">
        <v>189</v>
      </c>
      <c r="U232" s="171"/>
      <c r="V232" s="62"/>
      <c r="W232" s="192">
        <f>IF(ISBLANK(V232),W230*W231*W228,V232)</f>
        <v>520.3888888888888</v>
      </c>
      <c r="X232" s="80" t="s">
        <v>102</v>
      </c>
      <c r="Z232" s="207" t="s">
        <v>189</v>
      </c>
      <c r="AA232" s="171"/>
      <c r="AB232" s="62"/>
      <c r="AC232" s="192">
        <f>IF(ISBLANK(AB232),AC230*AC231*AC228,AB232)</f>
        <v>412.82396907216491</v>
      </c>
      <c r="AD232" s="80" t="s">
        <v>102</v>
      </c>
      <c r="AF232" s="231" t="s">
        <v>189</v>
      </c>
      <c r="AG232" s="171"/>
      <c r="AH232" s="62"/>
      <c r="AI232" s="192">
        <f>IF(ISBLANK(AH232),AI230*AI231*AI228,AH232)</f>
        <v>477.32222222222219</v>
      </c>
      <c r="AJ232" s="80" t="s">
        <v>102</v>
      </c>
    </row>
    <row r="233" spans="2:36" x14ac:dyDescent="0.2">
      <c r="H233" s="81"/>
      <c r="I233" s="172"/>
      <c r="J233" s="172"/>
      <c r="K233" s="172"/>
      <c r="L233" s="82"/>
      <c r="N233" s="81"/>
      <c r="O233" s="172"/>
      <c r="P233" s="172"/>
      <c r="Q233" s="172"/>
      <c r="R233" s="82"/>
      <c r="T233" s="81"/>
      <c r="U233" s="172"/>
      <c r="V233" s="172"/>
      <c r="W233" s="172"/>
      <c r="X233" s="82"/>
      <c r="Z233" s="81"/>
      <c r="AA233" s="172"/>
      <c r="AB233" s="172"/>
      <c r="AC233" s="172"/>
      <c r="AD233" s="82"/>
      <c r="AF233" s="81"/>
      <c r="AG233" s="172"/>
      <c r="AH233" s="172"/>
      <c r="AI233" s="172"/>
      <c r="AJ233" s="82"/>
    </row>
    <row r="235" spans="2:36" s="106" customFormat="1" ht="17" x14ac:dyDescent="0.2">
      <c r="B235" s="105" t="s">
        <v>190</v>
      </c>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row>
    <row r="236" spans="2:36" x14ac:dyDescent="0.2">
      <c r="E236" s="3"/>
    </row>
    <row r="237" spans="2:36" x14ac:dyDescent="0.2">
      <c r="B237" s="87" t="s">
        <v>191</v>
      </c>
      <c r="C237" s="91"/>
      <c r="D237" s="173"/>
      <c r="E237" s="126"/>
      <c r="F237" s="85"/>
      <c r="H237" s="345" t="s">
        <v>192</v>
      </c>
      <c r="I237" s="346"/>
      <c r="J237" s="347"/>
      <c r="K237" s="348"/>
      <c r="L237" s="349"/>
      <c r="N237" s="87" t="s">
        <v>707</v>
      </c>
      <c r="O237" s="91"/>
      <c r="P237" s="173"/>
      <c r="Q237" s="126"/>
      <c r="R237" s="85"/>
    </row>
    <row r="238" spans="2:36" ht="17" thickBot="1" x14ac:dyDescent="0.25">
      <c r="B238" s="125"/>
      <c r="C238" s="90" t="s">
        <v>25</v>
      </c>
      <c r="D238" s="92" t="s">
        <v>26</v>
      </c>
      <c r="E238" s="325" t="s">
        <v>46</v>
      </c>
      <c r="F238" s="326" t="s">
        <v>47</v>
      </c>
      <c r="H238" s="350"/>
      <c r="I238" s="324" t="s">
        <v>25</v>
      </c>
      <c r="J238" s="92" t="s">
        <v>26</v>
      </c>
      <c r="K238" s="325" t="s">
        <v>46</v>
      </c>
      <c r="L238" s="351" t="s">
        <v>47</v>
      </c>
      <c r="N238" s="125"/>
      <c r="O238" s="90" t="s">
        <v>25</v>
      </c>
      <c r="P238" s="92" t="s">
        <v>26</v>
      </c>
      <c r="Q238" s="325" t="s">
        <v>46</v>
      </c>
      <c r="R238" s="326" t="s">
        <v>47</v>
      </c>
    </row>
    <row r="239" spans="2:36" ht="18" thickTop="1" thickBot="1" x14ac:dyDescent="0.25">
      <c r="B239" s="89" t="s">
        <v>645</v>
      </c>
      <c r="C239" s="69" t="s">
        <v>54</v>
      </c>
      <c r="D239" s="62"/>
      <c r="E239" s="56" cm="1">
        <f t="array" ref="E239">INDEX(Tabel3[[#All],[Geen]:[Waarde MIN]],_xlfn.XMATCH('SCENARIO 1 - Gemiddeld'!B239,Tabel3[[#All],[Overige inkomsten]]),_xlfn.XMATCH('SCENARIO 1 - Gemiddeld'!C239,Tabel3[[#Headers],[Geen]:[Waarde MIN]]))</f>
        <v>200</v>
      </c>
      <c r="F239" s="88">
        <f>IF(ISBLANK(D239),E239*$E$40,D239*$E$40)</f>
        <v>10000</v>
      </c>
      <c r="H239" s="352" t="str">
        <f>'DATA - Variabelen &amp; waarden'!B400</f>
        <v>GLB - basisbetaling</v>
      </c>
      <c r="I239" s="69" t="s">
        <v>54</v>
      </c>
      <c r="J239" s="62"/>
      <c r="K239" s="68" cm="1">
        <f t="array" ref="K239">_xlfn.XLOOKUP(I239,Tabel41[[#Headers],[Geen]:[Waarde MIN]],'DATA - Variabelen &amp; waarden'!D400:G400,"Selecteer waarde")</f>
        <v>262.91000000000003</v>
      </c>
      <c r="L239" s="353">
        <f>IF(ISBLANK(J239),K239*$E$40,J239*$E$40)</f>
        <v>13145.500000000002</v>
      </c>
      <c r="N239" s="89" t="s">
        <v>194</v>
      </c>
      <c r="O239" s="69" t="s">
        <v>54</v>
      </c>
      <c r="P239" s="93"/>
      <c r="Q239" s="56" cm="1">
        <f t="array" ref="Q239">INDEX(Tabel36[[#All],[Geen]:[Waarde MIN]],_xlfn.XMATCH('SCENARIO 1 - Gemiddeld'!N239,Tabel36[[#All],[Referentie inkomsten - netto bedrijfsresultaten]]),_xlfn.XMATCH('SCENARIO 1 - Gemiddeld'!O239,Tabel36[[#Headers],[Geen]:[Waarde MIN]]))</f>
        <v>1223.613595706619</v>
      </c>
      <c r="R239" s="88">
        <f>IF(ISBLANK(P239),Q239*$E$40,P239*$E$40)</f>
        <v>61180.679785330947</v>
      </c>
    </row>
    <row r="240" spans="2:36" ht="18" thickTop="1" thickBot="1" x14ac:dyDescent="0.25">
      <c r="B240" s="89" t="s">
        <v>195</v>
      </c>
      <c r="C240" s="69" t="s">
        <v>54</v>
      </c>
      <c r="D240" s="62"/>
      <c r="E240" s="56" cm="1">
        <f t="array" ref="E240">INDEX(Tabel3[[#All],[Geen]:[Waarde MIN]],_xlfn.XMATCH('SCENARIO 1 - Gemiddeld'!B240,Tabel3[[#All],[Overige inkomsten]]),_xlfn.XMATCH('SCENARIO 1 - Gemiddeld'!C240,Tabel3[[#Headers],[Geen]:[Waarde MIN]]))</f>
        <v>50</v>
      </c>
      <c r="F240" s="88">
        <f>IF(ISBLANK(D240),E240*$E$40,D240*$E$40)</f>
        <v>2500</v>
      </c>
      <c r="H240" s="352" t="str">
        <f>'DATA - Variabelen &amp; waarden'!B401</f>
        <v>GLB - vergroeningsbetaling</v>
      </c>
      <c r="I240" s="69" t="s">
        <v>54</v>
      </c>
      <c r="J240" s="62"/>
      <c r="K240" s="68" cm="1">
        <f t="array" ref="K240">_xlfn.XLOOKUP(I240,Tabel41[[#Headers],[Geen]:[Waarde MIN]],'DATA - Variabelen &amp; waarden'!D401:G401,"Selecteer waarde")</f>
        <v>113.7</v>
      </c>
      <c r="L240" s="353">
        <f>IF(ISBLANK(J240),K240*$E$40,J240*$E$40)</f>
        <v>5685</v>
      </c>
      <c r="N240" s="89" t="s">
        <v>196</v>
      </c>
      <c r="O240" s="69" t="s">
        <v>54</v>
      </c>
      <c r="P240" s="93"/>
      <c r="Q240" s="56" cm="1">
        <f t="array" ref="Q240">INDEX(Tabel36[[#All],[Geen]:[Waarde MIN]],_xlfn.XMATCH('SCENARIO 1 - Gemiddeld'!N240,Tabel36[[#All],[Referentie inkomsten - netto bedrijfsresultaten]]),_xlfn.XMATCH('SCENARIO 1 - Gemiddeld'!O240,Tabel36[[#Headers],[Geen]:[Waarde MIN]]))</f>
        <v>744</v>
      </c>
      <c r="R240" s="88">
        <f t="shared" ref="R240:R243" si="5">IF(ISBLANK(P240),Q240*$E$40,P240*$E$40)</f>
        <v>37200</v>
      </c>
    </row>
    <row r="241" spans="2:36" ht="18" thickTop="1" thickBot="1" x14ac:dyDescent="0.25">
      <c r="B241" s="89" t="s">
        <v>547</v>
      </c>
      <c r="C241" s="69" t="s">
        <v>54</v>
      </c>
      <c r="D241" s="62"/>
      <c r="E241" s="56" cm="1">
        <f t="array" ref="E241">INDEX(Tabel3[[#All],[Geen]:[Waarde MIN]],_xlfn.XMATCH('SCENARIO 1 - Gemiddeld'!B241,Tabel3[[#All],[Overige inkomsten]]),_xlfn.XMATCH('SCENARIO 1 - Gemiddeld'!C241,Tabel3[[#Headers],[Geen]:[Waarde MIN]]))</f>
        <v>0</v>
      </c>
      <c r="F241" s="88">
        <f>IF(ISBLANK(D241),E241*$E$40,D241*$E$40)</f>
        <v>0</v>
      </c>
      <c r="H241" s="352" t="str">
        <f>'DATA - Variabelen &amp; waarden'!B402</f>
        <v>Concept GLB - peil -30 tot 0</v>
      </c>
      <c r="I241" s="69" t="s">
        <v>63</v>
      </c>
      <c r="J241" s="62"/>
      <c r="K241" s="56" cm="1">
        <f t="array" ref="K241">_xlfn.XLOOKUP(I241,Tabel41[[#Headers],[Geen]:[Waarde MIN]],'DATA - Variabelen &amp; waarden'!D402:G402,"Selecteer waarde")</f>
        <v>0</v>
      </c>
      <c r="L241" s="353">
        <f t="shared" ref="L241:L242" si="6">IF(ISBLANK(J241),K241*$E$40,J241*$E$40)</f>
        <v>0</v>
      </c>
      <c r="N241" s="89" t="s">
        <v>197</v>
      </c>
      <c r="O241" s="69" t="s">
        <v>54</v>
      </c>
      <c r="P241" s="93"/>
      <c r="Q241" s="56" cm="1">
        <f t="array" ref="Q241">INDEX(Tabel36[[#All],[Geen]:[Waarde MIN]],_xlfn.XMATCH('SCENARIO 1 - Gemiddeld'!N241,Tabel36[[#All],[Referentie inkomsten - netto bedrijfsresultaten]]),_xlfn.XMATCH('SCENARIO 1 - Gemiddeld'!O241,Tabel36[[#Headers],[Geen]:[Waarde MIN]]))</f>
        <v>2909.3900000000003</v>
      </c>
      <c r="R241" s="88">
        <f t="shared" si="5"/>
        <v>145469.50000000003</v>
      </c>
    </row>
    <row r="242" spans="2:36" ht="18" thickTop="1" thickBot="1" x14ac:dyDescent="0.25">
      <c r="B242" s="89" t="s">
        <v>63</v>
      </c>
      <c r="C242" s="69" t="s">
        <v>54</v>
      </c>
      <c r="D242" s="62"/>
      <c r="E242" s="56" cm="1">
        <f t="array" ref="E242">INDEX(Tabel3[[#All],[Geen]:[Waarde MIN]],_xlfn.XMATCH('SCENARIO 1 - Gemiddeld'!B242,Tabel3[[#All],[Overige inkomsten]]),_xlfn.XMATCH('SCENARIO 1 - Gemiddeld'!C242,Tabel3[[#Headers],[Geen]:[Waarde MIN]]))</f>
        <v>0</v>
      </c>
      <c r="F242" s="88">
        <f>IF(ISBLANK(D242),E242*$E$40,D242*$E$40)</f>
        <v>0</v>
      </c>
      <c r="H242" s="352" t="str">
        <f>'DATA - Variabelen &amp; waarden'!B403</f>
        <v>Concept GLB - peil -30 tot -21</v>
      </c>
      <c r="I242" s="69" t="s">
        <v>63</v>
      </c>
      <c r="J242" s="62"/>
      <c r="K242" s="56" cm="1">
        <f t="array" ref="K242">_xlfn.XLOOKUP(I242,Tabel41[[#Headers],[Geen]:[Waarde MIN]],'DATA - Variabelen &amp; waarden'!D403:G403,"Selecteer waarde")</f>
        <v>0</v>
      </c>
      <c r="L242" s="353">
        <f t="shared" si="6"/>
        <v>0</v>
      </c>
      <c r="N242" s="89" t="s">
        <v>63</v>
      </c>
      <c r="O242" s="69" t="s">
        <v>54</v>
      </c>
      <c r="P242" s="93"/>
      <c r="Q242" s="314" cm="1">
        <f t="array" ref="Q242">INDEX(Tabel36[[#All],[Geen]:[Waarde MIN]],_xlfn.XMATCH('SCENARIO 1 - Gemiddeld'!N242,Tabel36[[#All],[Referentie inkomsten - netto bedrijfsresultaten]]),_xlfn.XMATCH('SCENARIO 1 - Gemiddeld'!O242,Tabel36[[#Headers],[Geen]:[Waarde MIN]]))</f>
        <v>0</v>
      </c>
      <c r="R242" s="88">
        <f t="shared" si="5"/>
        <v>0</v>
      </c>
    </row>
    <row r="243" spans="2:36" ht="18" thickTop="1" thickBot="1" x14ac:dyDescent="0.25">
      <c r="B243" s="89" t="s">
        <v>63</v>
      </c>
      <c r="C243" s="69" t="s">
        <v>54</v>
      </c>
      <c r="D243" s="62"/>
      <c r="E243" s="56" cm="1">
        <f t="array" ref="E243">INDEX(Tabel3[[#All],[Geen]:[Waarde MIN]],_xlfn.XMATCH('SCENARIO 1 - Gemiddeld'!B243,Tabel3[[#All],[Overige inkomsten]]),_xlfn.XMATCH('SCENARIO 1 - Gemiddeld'!C243,Tabel3[[#Headers],[Geen]:[Waarde MIN]]))</f>
        <v>0</v>
      </c>
      <c r="F243" s="88">
        <f>IF(ISBLANK(D243),E243*$E$40,D243*$E$40)</f>
        <v>0</v>
      </c>
      <c r="H243" s="352"/>
      <c r="I243" s="171"/>
      <c r="J243" s="171"/>
      <c r="K243" s="325"/>
      <c r="L243" s="351"/>
      <c r="N243" s="89" t="s">
        <v>63</v>
      </c>
      <c r="O243" s="69" t="s">
        <v>54</v>
      </c>
      <c r="P243" s="93"/>
      <c r="Q243" s="314" cm="1">
        <f t="array" ref="Q243">INDEX(Tabel36[[#All],[Geen]:[Waarde MIN]],_xlfn.XMATCH('SCENARIO 1 - Gemiddeld'!N243,Tabel36[[#All],[Referentie inkomsten - netto bedrijfsresultaten]]),_xlfn.XMATCH('SCENARIO 1 - Gemiddeld'!O243,Tabel36[[#Headers],[Geen]:[Waarde MIN]]))</f>
        <v>0</v>
      </c>
      <c r="R243" s="88">
        <f t="shared" si="5"/>
        <v>0</v>
      </c>
    </row>
    <row r="244" spans="2:36" ht="17" thickTop="1" x14ac:dyDescent="0.2">
      <c r="B244" s="79"/>
      <c r="C244" s="171"/>
      <c r="D244" s="171"/>
      <c r="E244" s="56"/>
      <c r="F244" s="80"/>
      <c r="H244" s="354"/>
      <c r="I244" s="355"/>
      <c r="J244" s="355"/>
      <c r="K244" s="355"/>
      <c r="L244" s="356"/>
      <c r="N244" s="81"/>
      <c r="O244" s="172"/>
      <c r="P244" s="172"/>
      <c r="Q244" s="172"/>
      <c r="R244" s="82"/>
    </row>
    <row r="245" spans="2:36" x14ac:dyDescent="0.2">
      <c r="B245" s="109" t="s">
        <v>742</v>
      </c>
      <c r="C245" s="90"/>
      <c r="D245" s="171"/>
      <c r="E245" s="92"/>
      <c r="F245" s="80"/>
      <c r="G245" s="28"/>
      <c r="H245" s="38"/>
      <c r="I245" s="38"/>
      <c r="J245" s="38"/>
      <c r="K245" s="38"/>
      <c r="L245" s="38"/>
    </row>
    <row r="246" spans="2:36" x14ac:dyDescent="0.2">
      <c r="B246" s="125"/>
      <c r="C246" s="90" t="s">
        <v>25</v>
      </c>
      <c r="D246" s="92" t="s">
        <v>26</v>
      </c>
      <c r="E246" s="330" t="s">
        <v>46</v>
      </c>
      <c r="F246" s="326" t="s">
        <v>47</v>
      </c>
      <c r="G246" s="28"/>
      <c r="N246" s="87" t="s">
        <v>764</v>
      </c>
      <c r="O246" s="91"/>
      <c r="P246" s="173"/>
      <c r="Q246" s="126"/>
      <c r="R246" s="85"/>
    </row>
    <row r="247" spans="2:36" ht="17" thickBot="1" x14ac:dyDescent="0.25">
      <c r="B247" s="187" t="s">
        <v>198</v>
      </c>
      <c r="C247" s="67">
        <f>E44</f>
        <v>15</v>
      </c>
      <c r="D247" s="62"/>
      <c r="E247" s="331">
        <f>IF(ISBLANK(D247),C247,D247)</f>
        <v>15</v>
      </c>
      <c r="F247" s="185" t="s">
        <v>36</v>
      </c>
      <c r="G247" s="28"/>
      <c r="N247" s="125"/>
      <c r="O247" s="333" t="s">
        <v>25</v>
      </c>
      <c r="P247" s="334" t="s">
        <v>26</v>
      </c>
      <c r="Q247" s="330" t="s">
        <v>46</v>
      </c>
      <c r="R247" s="326" t="s">
        <v>47</v>
      </c>
    </row>
    <row r="248" spans="2:36" ht="18" thickTop="1" thickBot="1" x14ac:dyDescent="0.25">
      <c r="B248" s="187" t="s">
        <v>199</v>
      </c>
      <c r="C248" s="69" t="s">
        <v>54</v>
      </c>
      <c r="D248" s="62"/>
      <c r="E248" s="332" cm="1">
        <f t="array" ref="E248">IF(ISBLANK(D248),_xlfn.XLOOKUP(C248,Tabel40[[#Headers],[Geen]:[Waarde MIN]],Tabel40[[Geen]:[Waarde MIN]],"Selecteer waarde"),D248)</f>
        <v>40</v>
      </c>
      <c r="F248" s="185" t="s">
        <v>200</v>
      </c>
      <c r="G248" s="28"/>
      <c r="N248" s="189" t="str" cm="1">
        <f t="array" ref="N248">Tabel42[Minimaal inkomen (netto bedrijfsresultaat)]</f>
        <v>Minimaal inkomen</v>
      </c>
      <c r="O248" s="69" t="s">
        <v>54</v>
      </c>
      <c r="P248" s="93"/>
      <c r="Q248" s="314" cm="1">
        <f t="array" ref="Q248">_xlfn.XLOOKUP(O248,Tabel42[[#Headers],[Geen]:[Waarde MIN]],Tabel42[[Geen]:[Waarde MIN]],"Selecteer waarde")</f>
        <v>1223.613595706619</v>
      </c>
      <c r="R248" s="88">
        <f>IF(ISBLANK(P248),Q248*$E$40,P248*$E$40)</f>
        <v>61180.679785330947</v>
      </c>
    </row>
    <row r="249" spans="2:36" ht="17" thickTop="1" x14ac:dyDescent="0.2">
      <c r="B249" s="207" t="s">
        <v>201</v>
      </c>
      <c r="C249" s="171"/>
      <c r="D249" s="171"/>
      <c r="E249" s="314">
        <f>E247*E248</f>
        <v>600</v>
      </c>
      <c r="F249" s="88">
        <f>E249*E40</f>
        <v>30000</v>
      </c>
      <c r="G249" s="28"/>
      <c r="N249" s="79"/>
      <c r="O249" s="171"/>
      <c r="P249" s="171"/>
      <c r="Q249" s="171"/>
      <c r="R249" s="80"/>
    </row>
    <row r="250" spans="2:36" x14ac:dyDescent="0.2">
      <c r="B250" s="322"/>
      <c r="C250" s="172"/>
      <c r="D250" s="172"/>
      <c r="E250" s="172"/>
      <c r="F250" s="323"/>
      <c r="G250" s="28"/>
      <c r="N250" s="322"/>
      <c r="O250" s="172"/>
      <c r="P250" s="172"/>
      <c r="Q250" s="172"/>
      <c r="R250" s="323"/>
    </row>
    <row r="254" spans="2:36" ht="19" x14ac:dyDescent="0.25">
      <c r="B254" s="283" t="s">
        <v>202</v>
      </c>
      <c r="C254" s="283"/>
      <c r="D254" s="283"/>
      <c r="E254" s="283"/>
      <c r="F254" s="283"/>
      <c r="G254" s="283"/>
      <c r="H254" s="283"/>
      <c r="I254" s="283"/>
      <c r="J254" s="283"/>
      <c r="K254" s="283"/>
      <c r="L254" s="283"/>
      <c r="M254" s="283"/>
      <c r="N254" s="283"/>
      <c r="O254" s="283"/>
      <c r="P254" s="283"/>
      <c r="Q254" s="283"/>
      <c r="R254" s="283"/>
      <c r="S254" s="283"/>
      <c r="T254" s="283"/>
      <c r="U254" s="283"/>
      <c r="V254" s="283"/>
      <c r="W254" s="283"/>
      <c r="X254" s="283"/>
      <c r="Y254" s="283"/>
      <c r="Z254" s="283"/>
      <c r="AA254" s="283"/>
      <c r="AB254" s="283"/>
      <c r="AC254" s="283"/>
      <c r="AD254" s="283"/>
      <c r="AE254" s="283"/>
      <c r="AF254" s="283"/>
      <c r="AG254" s="283"/>
      <c r="AH254" s="283"/>
      <c r="AI254" s="283"/>
      <c r="AJ254" s="283"/>
    </row>
    <row r="256" spans="2:36" ht="17" x14ac:dyDescent="0.2">
      <c r="B256" s="105" t="s">
        <v>203</v>
      </c>
      <c r="C256" s="105"/>
      <c r="D256" s="105"/>
      <c r="E256" s="105"/>
      <c r="F256" s="105"/>
      <c r="G256" s="210"/>
      <c r="H256" s="105" t="s">
        <v>204</v>
      </c>
      <c r="I256" s="105"/>
      <c r="J256" s="105"/>
      <c r="K256" s="105"/>
      <c r="L256" s="105"/>
      <c r="M256" s="210"/>
      <c r="N256" s="105" t="s">
        <v>205</v>
      </c>
      <c r="O256" s="105"/>
      <c r="P256" s="105"/>
      <c r="Q256" s="105"/>
      <c r="R256" s="105"/>
      <c r="S256" s="105"/>
      <c r="T256" s="105"/>
    </row>
    <row r="257" spans="2:22" x14ac:dyDescent="0.2">
      <c r="B257" s="1"/>
      <c r="C257" s="1"/>
      <c r="D257" s="2"/>
      <c r="E257" s="2"/>
      <c r="F257" s="2"/>
    </row>
    <row r="258" spans="2:22" x14ac:dyDescent="0.2">
      <c r="B258" s="1" t="s">
        <v>206</v>
      </c>
      <c r="C258" s="1" t="s">
        <v>207</v>
      </c>
      <c r="D258" s="2" t="s">
        <v>47</v>
      </c>
      <c r="E258" s="2" t="s">
        <v>46</v>
      </c>
      <c r="F258" s="2" t="s">
        <v>208</v>
      </c>
      <c r="H258" s="1" t="s">
        <v>206</v>
      </c>
      <c r="I258" s="1" t="s">
        <v>207</v>
      </c>
      <c r="J258" s="2" t="s">
        <v>47</v>
      </c>
      <c r="K258" s="2" t="s">
        <v>46</v>
      </c>
      <c r="L258" s="2" t="s">
        <v>208</v>
      </c>
      <c r="N258" s="1" t="s">
        <v>206</v>
      </c>
      <c r="O258" s="1" t="s">
        <v>207</v>
      </c>
      <c r="P258" s="2" t="s">
        <v>47</v>
      </c>
      <c r="Q258" s="2" t="s">
        <v>46</v>
      </c>
      <c r="R258" s="2" t="s">
        <v>208</v>
      </c>
      <c r="T258" s="2" t="s">
        <v>753</v>
      </c>
    </row>
    <row r="259" spans="2:22" x14ac:dyDescent="0.2">
      <c r="B259" t="s">
        <v>209</v>
      </c>
      <c r="C259" t="s">
        <v>30</v>
      </c>
      <c r="D259" s="212">
        <f>E40</f>
        <v>50</v>
      </c>
      <c r="N259" t="s">
        <v>210</v>
      </c>
      <c r="O259" s="270" t="s">
        <v>211</v>
      </c>
      <c r="P259" s="294">
        <f>Q259*D259</f>
        <v>61180.679785330947</v>
      </c>
      <c r="Q259" s="212">
        <f>Q248</f>
        <v>1223.613595706619</v>
      </c>
      <c r="R259" s="212">
        <f>P259/D260</f>
        <v>101.96779964221824</v>
      </c>
      <c r="V259" s="294"/>
    </row>
    <row r="260" spans="2:22" x14ac:dyDescent="0.2">
      <c r="B260" t="s">
        <v>212</v>
      </c>
      <c r="C260" t="s">
        <v>81</v>
      </c>
      <c r="D260" s="212">
        <f>SUM(E110:E111)</f>
        <v>600</v>
      </c>
      <c r="E260">
        <f>D260/D259</f>
        <v>12</v>
      </c>
      <c r="N260" t="s">
        <v>213</v>
      </c>
      <c r="O260" t="s">
        <v>41</v>
      </c>
      <c r="P260" s="294">
        <f>Q260*D259</f>
        <v>750</v>
      </c>
      <c r="Q260" s="294">
        <f>E44</f>
        <v>15</v>
      </c>
      <c r="R260" s="414">
        <f>P260/D260</f>
        <v>1.25</v>
      </c>
    </row>
    <row r="261" spans="2:22" x14ac:dyDescent="0.2">
      <c r="P261" s="3"/>
      <c r="Q261" s="3"/>
      <c r="R261" s="3"/>
    </row>
    <row r="262" spans="2:22" ht="21" x14ac:dyDescent="0.25">
      <c r="B262" s="291" t="s">
        <v>755</v>
      </c>
      <c r="C262" s="291" t="s">
        <v>211</v>
      </c>
      <c r="D262" s="292">
        <f>SUM(D264,D272,D280,D282)</f>
        <v>414099.08464537014</v>
      </c>
      <c r="E262" s="292">
        <f t="shared" ref="E262:F262" si="7">SUM(E264,E272,E280,E282)</f>
        <v>8281.9816929074041</v>
      </c>
      <c r="F262" s="292">
        <f t="shared" si="7"/>
        <v>690.16514107561693</v>
      </c>
      <c r="G262" s="286"/>
      <c r="H262" s="291" t="s">
        <v>214</v>
      </c>
      <c r="I262" s="291"/>
      <c r="J262" s="291"/>
      <c r="K262" s="291"/>
      <c r="L262" s="291"/>
      <c r="N262" s="291" t="s">
        <v>215</v>
      </c>
      <c r="O262" s="291"/>
      <c r="P262" s="291"/>
      <c r="Q262" s="291"/>
      <c r="R262" s="291"/>
      <c r="S262" s="404"/>
      <c r="T262" s="404"/>
    </row>
    <row r="263" spans="2:22" x14ac:dyDescent="0.2">
      <c r="B263" s="148"/>
      <c r="D263" s="211"/>
      <c r="E263" s="211"/>
      <c r="F263" s="211"/>
    </row>
    <row r="264" spans="2:22" x14ac:dyDescent="0.2">
      <c r="B264" s="1" t="s">
        <v>216</v>
      </c>
      <c r="C264" s="1" t="s">
        <v>211</v>
      </c>
      <c r="D264" s="8">
        <f>SUM(D265:D270)</f>
        <v>352768.58464537014</v>
      </c>
      <c r="E264" s="8">
        <f>SUM(E265:E270)</f>
        <v>7055.3716929074035</v>
      </c>
      <c r="F264" s="8">
        <f>D264/$D$260</f>
        <v>587.94764107561684</v>
      </c>
      <c r="G264" s="1"/>
      <c r="H264" t="str">
        <f>IF(N239="Geen","-",N239)</f>
        <v>Melkvee op veen</v>
      </c>
      <c r="I264" s="270" t="str">
        <f>IF(H264="-","-","[€/a]")</f>
        <v>[€/a]</v>
      </c>
      <c r="J264" s="3">
        <f>R239</f>
        <v>61180.679785330947</v>
      </c>
      <c r="K264" s="3">
        <f>J264/$D$259</f>
        <v>1223.613595706619</v>
      </c>
      <c r="L264" s="281" t="str">
        <f>IF(H264="-","-","n.v.t")</f>
        <v>n.v.t</v>
      </c>
      <c r="N264" t="s">
        <v>217</v>
      </c>
      <c r="O264" s="270" t="s">
        <v>211</v>
      </c>
      <c r="P264" s="408">
        <f>Q264*$D$259</f>
        <v>113258.63901363313</v>
      </c>
      <c r="Q264" s="408">
        <f>IF(E310&lt;$Q$259,$Q$259-E310,0)</f>
        <v>2265.1727802726627</v>
      </c>
      <c r="R264" s="408">
        <f>P264/$D$260</f>
        <v>188.76439835605521</v>
      </c>
      <c r="S264" s="408"/>
      <c r="T264" s="409">
        <f>Q264/$Q$260</f>
        <v>151.01151868484419</v>
      </c>
    </row>
    <row r="265" spans="2:22" x14ac:dyDescent="0.2">
      <c r="B265" t="str">
        <f>B169</f>
        <v>Bouw - Inblaasisolatie</v>
      </c>
      <c r="C265" s="270" t="s">
        <v>211</v>
      </c>
      <c r="D265" s="3">
        <f>F169</f>
        <v>181309.61111111109</v>
      </c>
      <c r="E265" s="3">
        <f>D265/$D$259</f>
        <v>3626.192222222222</v>
      </c>
      <c r="F265" s="288">
        <f>I177</f>
        <v>1184.5999999999999</v>
      </c>
      <c r="H265" s="52" t="str">
        <f>IF(H264="-","-","Verschil lisdodde")</f>
        <v>Verschil lisdodde</v>
      </c>
      <c r="I265" s="52" t="str">
        <f>IF(H264="-","-","[€/a]")</f>
        <v>[€/a]</v>
      </c>
      <c r="J265" s="136">
        <f>IF(H264="-",0,$D$307-J264)</f>
        <v>-51928.139013633183</v>
      </c>
      <c r="K265" s="136">
        <f>IF(H264="-",0,$E$307-K264)</f>
        <v>-1038.5627802726622</v>
      </c>
      <c r="L265" s="280"/>
      <c r="N265" s="52" t="s">
        <v>751</v>
      </c>
      <c r="P265" s="408"/>
      <c r="Q265" s="408"/>
      <c r="R265" s="408"/>
      <c r="S265" s="408"/>
      <c r="T265" s="409"/>
    </row>
    <row r="266" spans="2:22" x14ac:dyDescent="0.2">
      <c r="B266" t="str">
        <f>B170</f>
        <v>Bouw - Beton - Droge mortel - Versterker</v>
      </c>
      <c r="C266" s="270" t="s">
        <v>211</v>
      </c>
      <c r="D266" s="3">
        <f>F170</f>
        <v>29229.05328798186</v>
      </c>
      <c r="E266" s="3">
        <f>D266/$D$259</f>
        <v>584.58106575963723</v>
      </c>
      <c r="F266" s="288">
        <f>O177</f>
        <v>1206.0830409356724</v>
      </c>
      <c r="I266" s="270"/>
      <c r="J266" s="3"/>
      <c r="L266" s="281"/>
      <c r="P266" s="408"/>
      <c r="Q266" s="408"/>
      <c r="R266" s="408"/>
      <c r="S266" s="408"/>
      <c r="T266" s="409"/>
    </row>
    <row r="267" spans="2:22" x14ac:dyDescent="0.2">
      <c r="B267" t="str">
        <f>B171</f>
        <v>Bouw - Isolatieplaat (Typha Board)</v>
      </c>
      <c r="C267" s="270" t="s">
        <v>211</v>
      </c>
      <c r="D267" s="3">
        <f>F171</f>
        <v>89476.277777777766</v>
      </c>
      <c r="E267" s="3">
        <f>D267/$D$259</f>
        <v>1789.5255555555552</v>
      </c>
      <c r="F267" s="288">
        <f>U177</f>
        <v>584.6</v>
      </c>
      <c r="H267" t="str">
        <f>IF(N240="Geen","-",N240)</f>
        <v>Verhuur / verpachten</v>
      </c>
      <c r="I267" s="270" t="str">
        <f>IF(H267="-","-","[€/a]")</f>
        <v>[€/a]</v>
      </c>
      <c r="J267" s="3">
        <f>R240</f>
        <v>37200</v>
      </c>
      <c r="K267" s="3">
        <f t="shared" ref="K267:K276" si="8">J267/$D$259</f>
        <v>744</v>
      </c>
      <c r="L267" s="281" t="str">
        <f>IF(H267="-","-","n.v.t")</f>
        <v>n.v.t</v>
      </c>
      <c r="N267" t="s">
        <v>218</v>
      </c>
      <c r="O267" s="270" t="s">
        <v>211</v>
      </c>
      <c r="P267" s="408">
        <f>Q267*$D$259</f>
        <v>94428.139013633161</v>
      </c>
      <c r="Q267" s="408">
        <f>IF(E313&lt;$Q$259,$Q$259-E313,0)</f>
        <v>1888.5627802726631</v>
      </c>
      <c r="R267" s="408">
        <f>P267/$D$260</f>
        <v>157.38023168938861</v>
      </c>
      <c r="S267" s="408"/>
      <c r="T267" s="409">
        <f>Q267/$Q$260</f>
        <v>125.90418535151088</v>
      </c>
    </row>
    <row r="268" spans="2:22" x14ac:dyDescent="0.2">
      <c r="B268" t="str">
        <f>B172</f>
        <v xml:space="preserve">Plastics - Spuitgieten - Vuller </v>
      </c>
      <c r="C268" s="270" t="s">
        <v>211</v>
      </c>
      <c r="D268" s="3">
        <f>F172</f>
        <v>28108.742468499426</v>
      </c>
      <c r="E268" s="3">
        <f>D268/$D$259</f>
        <v>562.17484936998846</v>
      </c>
      <c r="F268" s="288">
        <f>AA177</f>
        <v>231.5023631202763</v>
      </c>
      <c r="H268" s="52" t="str">
        <f>IF(H267="-","-","Verschil lisdodde")</f>
        <v>Verschil lisdodde</v>
      </c>
      <c r="I268" s="52" t="str">
        <f>IF(H267="-","-","[€/a]")</f>
        <v>[€/a]</v>
      </c>
      <c r="J268" s="136">
        <f>IF(H267="-",0,$D$307-J267)</f>
        <v>-27947.459228302236</v>
      </c>
      <c r="K268" s="136">
        <f>IF(H267="-",0,$E$307-K267)</f>
        <v>-558.94918456604319</v>
      </c>
      <c r="L268" s="280"/>
      <c r="N268" s="52" t="s">
        <v>743</v>
      </c>
      <c r="P268" s="408"/>
      <c r="Q268" s="408"/>
      <c r="R268" s="408"/>
      <c r="S268" s="408"/>
      <c r="T268" s="409"/>
    </row>
    <row r="269" spans="2:22" x14ac:dyDescent="0.2">
      <c r="B269" t="str">
        <f>B173</f>
        <v>Papier - Massief karton - Vuller</v>
      </c>
      <c r="C269" s="270" t="s">
        <v>211</v>
      </c>
      <c r="D269" s="3">
        <f>F173</f>
        <v>24644.9</v>
      </c>
      <c r="E269" s="3">
        <f>D269/$D$259</f>
        <v>492.89800000000002</v>
      </c>
      <c r="F269" s="288">
        <f>AG177</f>
        <v>175.54736842105262</v>
      </c>
      <c r="I269" s="270"/>
      <c r="J269" s="3"/>
      <c r="L269" s="281"/>
      <c r="P269" s="408"/>
      <c r="Q269" s="408"/>
      <c r="R269" s="408"/>
      <c r="S269" s="408"/>
      <c r="T269" s="409"/>
    </row>
    <row r="270" spans="2:22" x14ac:dyDescent="0.2">
      <c r="B270" s="52" t="s">
        <v>219</v>
      </c>
      <c r="C270" s="270" t="s">
        <v>211</v>
      </c>
      <c r="D270" s="209"/>
      <c r="E270" s="209"/>
      <c r="F270" s="209"/>
      <c r="H270" t="str">
        <f>IF(N241="Geen","-",N241)</f>
        <v>Zonnepanelen</v>
      </c>
      <c r="I270" s="270" t="str">
        <f>IF(H270="-","-","[€/a]")</f>
        <v>[€/a]</v>
      </c>
      <c r="J270" s="3">
        <f>R241</f>
        <v>145469.50000000003</v>
      </c>
      <c r="K270" s="3">
        <f t="shared" si="8"/>
        <v>2909.3900000000008</v>
      </c>
      <c r="L270" s="281" t="str">
        <f>IF(H270="-","-","n.v.t")</f>
        <v>n.v.t</v>
      </c>
      <c r="N270" t="s">
        <v>220</v>
      </c>
      <c r="O270" s="270" t="s">
        <v>211</v>
      </c>
      <c r="P270" s="408">
        <f>Q270*$D$259</f>
        <v>81928.139013633161</v>
      </c>
      <c r="Q270" s="408">
        <f>IF(E316&lt;$Q$259,$Q$259-E316,0)</f>
        <v>1638.5627802726631</v>
      </c>
      <c r="R270" s="408">
        <f>P270/$D$260</f>
        <v>136.54689835605527</v>
      </c>
      <c r="S270" s="408"/>
      <c r="T270" s="409">
        <f>Q270/$Q$260</f>
        <v>109.2375186848442</v>
      </c>
    </row>
    <row r="271" spans="2:22" x14ac:dyDescent="0.2">
      <c r="C271" s="270"/>
      <c r="D271" s="3"/>
      <c r="E271" s="3"/>
      <c r="F271" s="3"/>
      <c r="H271" s="52" t="str">
        <f>IF(H270="-","-","Verschil lisdodde")</f>
        <v>Verschil lisdodde</v>
      </c>
      <c r="I271" s="52" t="str">
        <f>IF(H270="-","-","[€/a]")</f>
        <v>[€/a]</v>
      </c>
      <c r="J271" s="136">
        <f>IF(H270="-",0,$D$307-J270)</f>
        <v>-136216.95922830226</v>
      </c>
      <c r="K271" s="136">
        <f>IF(H270="-",0,$E$307-K270)</f>
        <v>-2724.339184566044</v>
      </c>
      <c r="L271" s="280"/>
      <c r="N271" s="52" t="s">
        <v>744</v>
      </c>
      <c r="P271" s="408"/>
      <c r="Q271" s="408"/>
      <c r="R271" s="408"/>
      <c r="S271" s="408"/>
      <c r="T271" s="409"/>
    </row>
    <row r="272" spans="2:22" x14ac:dyDescent="0.2">
      <c r="B272" s="1" t="str">
        <f>B237</f>
        <v xml:space="preserve">Overige inkomsten </v>
      </c>
      <c r="C272" s="1" t="s">
        <v>211</v>
      </c>
      <c r="D272" s="8">
        <f>SUM(D273:D278)</f>
        <v>12500</v>
      </c>
      <c r="E272" s="8">
        <f>SUM(E273:E278)</f>
        <v>250</v>
      </c>
      <c r="F272" s="8">
        <f>SUM(F273:F278)</f>
        <v>20.833333333333336</v>
      </c>
      <c r="G272" s="1"/>
      <c r="I272" s="270"/>
      <c r="J272" s="3"/>
      <c r="L272" s="281"/>
      <c r="P272" s="408"/>
      <c r="Q272" s="408"/>
      <c r="R272" s="408"/>
      <c r="S272" s="408"/>
      <c r="T272" s="409"/>
    </row>
    <row r="273" spans="2:20" x14ac:dyDescent="0.2">
      <c r="B273" t="str">
        <f>IF(B239="Geen","-",B239)</f>
        <v>Natuurbeheerpakket</v>
      </c>
      <c r="C273" s="270" t="s">
        <v>211</v>
      </c>
      <c r="D273" s="3">
        <f>F239</f>
        <v>10000</v>
      </c>
      <c r="E273" s="3">
        <f>D273/$D$259</f>
        <v>200</v>
      </c>
      <c r="F273" s="3">
        <f>D273/$D$260</f>
        <v>16.666666666666668</v>
      </c>
      <c r="H273" t="str">
        <f>IF(N242="Geen","-",N242)</f>
        <v>-</v>
      </c>
      <c r="I273" s="270" t="str">
        <f>IF(H273="-","-","[€/a]")</f>
        <v>-</v>
      </c>
      <c r="J273" s="3">
        <f>R242</f>
        <v>0</v>
      </c>
      <c r="K273" s="3">
        <f t="shared" si="8"/>
        <v>0</v>
      </c>
      <c r="L273" s="281" t="str">
        <f>IF(H273="-","-","n.v.t")</f>
        <v>-</v>
      </c>
      <c r="N273" s="270" t="s">
        <v>752</v>
      </c>
      <c r="O273" s="270" t="s">
        <v>211</v>
      </c>
      <c r="P273" s="408">
        <f>Q273*$D$259</f>
        <v>51928.13901363311</v>
      </c>
      <c r="Q273" s="408">
        <f>IF(E319&lt;$Q$259,$Q$259-E319,0)</f>
        <v>1038.5627802726622</v>
      </c>
      <c r="R273" s="408">
        <f>P273/$D$260</f>
        <v>86.546898356055181</v>
      </c>
      <c r="S273" s="408"/>
      <c r="T273" s="409">
        <f>Q273/$Q$260</f>
        <v>69.237518684844147</v>
      </c>
    </row>
    <row r="274" spans="2:20" x14ac:dyDescent="0.2">
      <c r="B274" t="str">
        <f t="shared" ref="B274:B277" si="9">IF(B240="Geen","-",B240)</f>
        <v>Waterbuffering</v>
      </c>
      <c r="C274" s="270" t="s">
        <v>211</v>
      </c>
      <c r="D274" s="3">
        <f>F240</f>
        <v>2500</v>
      </c>
      <c r="E274" s="3">
        <f t="shared" ref="E274:E277" si="10">D274/$D$259</f>
        <v>50</v>
      </c>
      <c r="F274" s="3">
        <f>D274/$D$260</f>
        <v>4.166666666666667</v>
      </c>
      <c r="H274" s="52" t="str">
        <f>IF(H273="-","-","Verschil lisdodde")</f>
        <v>-</v>
      </c>
      <c r="I274" s="52" t="str">
        <f>IF(H273="-","-","[€/a]")</f>
        <v>-</v>
      </c>
      <c r="J274" s="136">
        <f>IF(H273="-",0,$D$307-J273)</f>
        <v>0</v>
      </c>
      <c r="K274" s="136">
        <f>IF(H273="-",0,$E$307-K273)</f>
        <v>0</v>
      </c>
      <c r="L274" s="280"/>
      <c r="N274" s="52" t="s">
        <v>221</v>
      </c>
      <c r="P274" s="408"/>
      <c r="Q274" s="408"/>
      <c r="R274" s="408"/>
      <c r="S274" s="408"/>
      <c r="T274" s="409"/>
    </row>
    <row r="275" spans="2:20" x14ac:dyDescent="0.2">
      <c r="B275" t="str">
        <f t="shared" si="9"/>
        <v>Overige ecosysteemdiensten</v>
      </c>
      <c r="C275" s="270" t="s">
        <v>211</v>
      </c>
      <c r="D275" s="3">
        <f>F241</f>
        <v>0</v>
      </c>
      <c r="E275" s="3">
        <f t="shared" si="10"/>
        <v>0</v>
      </c>
      <c r="F275" s="3">
        <f>D275/$D$260</f>
        <v>0</v>
      </c>
      <c r="I275" s="270"/>
      <c r="J275" s="3"/>
      <c r="L275" s="281"/>
      <c r="P275" s="408"/>
      <c r="Q275" s="408"/>
      <c r="R275" s="408"/>
      <c r="S275" s="408"/>
      <c r="T275" s="409"/>
    </row>
    <row r="276" spans="2:20" x14ac:dyDescent="0.2">
      <c r="B276" t="str">
        <f t="shared" si="9"/>
        <v>-</v>
      </c>
      <c r="C276" s="270" t="s">
        <v>211</v>
      </c>
      <c r="D276" s="3">
        <f>F242</f>
        <v>0</v>
      </c>
      <c r="E276" s="3">
        <f t="shared" si="10"/>
        <v>0</v>
      </c>
      <c r="F276" s="3">
        <f>D276/$D$260</f>
        <v>0</v>
      </c>
      <c r="H276" t="str">
        <f>IF(N243="Geen","-",N243)</f>
        <v>-</v>
      </c>
      <c r="I276" s="270" t="str">
        <f>IF(H276="-","-","[€/a]")</f>
        <v>-</v>
      </c>
      <c r="J276" s="3">
        <f>R243</f>
        <v>0</v>
      </c>
      <c r="K276" s="3">
        <f t="shared" si="8"/>
        <v>0</v>
      </c>
      <c r="L276" s="281" t="str">
        <f>IF(H276="-","-","n.v.t")</f>
        <v>-</v>
      </c>
      <c r="N276" s="38" t="s">
        <v>763</v>
      </c>
      <c r="O276" s="270" t="s">
        <v>211</v>
      </c>
      <c r="P276" s="408">
        <f>Q276*$D$259</f>
        <v>51928.13901363311</v>
      </c>
      <c r="Q276" s="408">
        <f>IF(E307&lt;$Q$259,$Q$259-E307,0)</f>
        <v>1038.5627802726622</v>
      </c>
      <c r="R276" s="408">
        <f>P276/$D$260</f>
        <v>86.546898356055181</v>
      </c>
      <c r="S276" s="408"/>
      <c r="T276" s="409">
        <f>Q276/$Q$260</f>
        <v>69.237518684844147</v>
      </c>
    </row>
    <row r="277" spans="2:20" x14ac:dyDescent="0.2">
      <c r="B277" t="str">
        <f t="shared" si="9"/>
        <v>-</v>
      </c>
      <c r="C277" s="270" t="s">
        <v>211</v>
      </c>
      <c r="D277" s="3">
        <f>F243</f>
        <v>0</v>
      </c>
      <c r="E277" s="3">
        <f t="shared" si="10"/>
        <v>0</v>
      </c>
      <c r="F277" s="3">
        <f>D277/$D$260</f>
        <v>0</v>
      </c>
      <c r="H277" s="52" t="str">
        <f>IF(H276="-","-","Verschil lisdodde")</f>
        <v>-</v>
      </c>
      <c r="I277" s="52" t="str">
        <f>IF(H276="-","-","[€/a]")</f>
        <v>-</v>
      </c>
      <c r="J277" s="136">
        <f>IF(H276="-",0,$D$307-J276)</f>
        <v>0</v>
      </c>
      <c r="K277" s="136">
        <f>IF(H276="-",0,$E$307-K276)</f>
        <v>0</v>
      </c>
      <c r="L277" s="280"/>
    </row>
    <row r="278" spans="2:20" x14ac:dyDescent="0.2">
      <c r="B278" s="52" t="s">
        <v>223</v>
      </c>
      <c r="C278" s="270" t="s">
        <v>211</v>
      </c>
      <c r="D278" s="94"/>
      <c r="E278" s="209"/>
      <c r="F278" s="209"/>
      <c r="H278" s="52"/>
    </row>
    <row r="279" spans="2:20" x14ac:dyDescent="0.2">
      <c r="C279" s="270"/>
      <c r="D279" s="2"/>
      <c r="E279" s="2"/>
      <c r="F279" s="2"/>
      <c r="H279" s="52" t="s">
        <v>708</v>
      </c>
      <c r="N279" s="295"/>
      <c r="O279" s="295"/>
      <c r="P279" s="295"/>
      <c r="Q279" s="295"/>
      <c r="R279" s="295"/>
    </row>
    <row r="280" spans="2:20" x14ac:dyDescent="0.2">
      <c r="B280" s="1" t="str">
        <f>B245</f>
        <v>Inkomsten CO2-certificaten</v>
      </c>
      <c r="C280" s="1" t="s">
        <v>211</v>
      </c>
      <c r="D280" s="402">
        <f>F249</f>
        <v>30000</v>
      </c>
      <c r="E280" s="8">
        <f>D280/$D$259</f>
        <v>600</v>
      </c>
      <c r="F280" s="8">
        <f>D280/$D$260</f>
        <v>50</v>
      </c>
      <c r="H280" s="52" t="s">
        <v>709</v>
      </c>
    </row>
    <row r="281" spans="2:20" ht="21" x14ac:dyDescent="0.25">
      <c r="C281" s="270"/>
      <c r="D281" s="2"/>
      <c r="E281" s="2"/>
      <c r="F281" s="2"/>
      <c r="G281" s="287"/>
      <c r="H281" s="396" t="s">
        <v>710</v>
      </c>
    </row>
    <row r="282" spans="2:20" x14ac:dyDescent="0.2">
      <c r="B282" s="1" t="str">
        <f>H237</f>
        <v>Inkomsten GLB subsidies</v>
      </c>
      <c r="C282" s="1" t="s">
        <v>211</v>
      </c>
      <c r="D282" s="402">
        <f>SUM(D283:D286)</f>
        <v>18830.5</v>
      </c>
      <c r="E282" s="402">
        <f t="shared" ref="E282:F282" si="11">SUM(E283:E286)</f>
        <v>376.61</v>
      </c>
      <c r="F282" s="402">
        <f t="shared" si="11"/>
        <v>31.384166666666673</v>
      </c>
    </row>
    <row r="283" spans="2:20" x14ac:dyDescent="0.2">
      <c r="B283" t="str">
        <f>H239</f>
        <v>GLB - basisbetaling</v>
      </c>
      <c r="C283" s="270" t="s">
        <v>211</v>
      </c>
      <c r="D283" s="403">
        <f>L239</f>
        <v>13145.500000000002</v>
      </c>
      <c r="E283" s="3">
        <f>D283/$D$259</f>
        <v>262.91000000000003</v>
      </c>
      <c r="F283" s="272">
        <f>D283/$D$260</f>
        <v>21.909166666666671</v>
      </c>
      <c r="G283" s="1"/>
      <c r="H283" s="28"/>
    </row>
    <row r="284" spans="2:20" x14ac:dyDescent="0.2">
      <c r="B284" t="str">
        <f t="shared" ref="B284:B286" si="12">H240</f>
        <v>GLB - vergroeningsbetaling</v>
      </c>
      <c r="C284" s="270" t="s">
        <v>211</v>
      </c>
      <c r="D284" s="403">
        <f t="shared" ref="D284:D286" si="13">L240</f>
        <v>5685</v>
      </c>
      <c r="E284" s="3">
        <f t="shared" ref="E284:E286" si="14">D284/$D$259</f>
        <v>113.7</v>
      </c>
      <c r="F284" s="272">
        <f t="shared" ref="F284:F286" si="15">D284/$D$260</f>
        <v>9.4749999999999996</v>
      </c>
    </row>
    <row r="285" spans="2:20" x14ac:dyDescent="0.2">
      <c r="B285" t="str">
        <f t="shared" si="12"/>
        <v>Concept GLB - peil -30 tot 0</v>
      </c>
      <c r="C285" s="270" t="s">
        <v>211</v>
      </c>
      <c r="D285" s="403">
        <f t="shared" si="13"/>
        <v>0</v>
      </c>
      <c r="E285" s="3">
        <f t="shared" si="14"/>
        <v>0</v>
      </c>
      <c r="F285" s="272">
        <f t="shared" si="15"/>
        <v>0</v>
      </c>
    </row>
    <row r="286" spans="2:20" x14ac:dyDescent="0.2">
      <c r="B286" t="str">
        <f t="shared" si="12"/>
        <v>Concept GLB - peil -30 tot -21</v>
      </c>
      <c r="C286" s="270" t="s">
        <v>211</v>
      </c>
      <c r="D286" s="403">
        <f t="shared" si="13"/>
        <v>0</v>
      </c>
      <c r="E286" s="3">
        <f t="shared" si="14"/>
        <v>0</v>
      </c>
      <c r="F286" s="272">
        <f t="shared" si="15"/>
        <v>0</v>
      </c>
    </row>
    <row r="287" spans="2:20" x14ac:dyDescent="0.2">
      <c r="C287" s="270"/>
      <c r="D287" s="403"/>
      <c r="E287" s="3"/>
      <c r="F287" s="272"/>
    </row>
    <row r="288" spans="2:20" x14ac:dyDescent="0.2">
      <c r="C288" s="270"/>
      <c r="D288" s="2"/>
      <c r="E288" s="2"/>
      <c r="F288" s="2"/>
    </row>
    <row r="289" spans="2:18" ht="19" x14ac:dyDescent="0.25">
      <c r="B289" s="291" t="s">
        <v>224</v>
      </c>
      <c r="C289" s="291" t="s">
        <v>211</v>
      </c>
      <c r="D289" s="292">
        <f>SUM(D304,D291,D299)</f>
        <v>404846.54387367237</v>
      </c>
      <c r="E289" s="292">
        <f>SUM(E304,E291,E299)</f>
        <v>8096.9308774734473</v>
      </c>
      <c r="F289" s="292">
        <f>SUM(F304,F291,F299)</f>
        <v>674.7442397894539</v>
      </c>
    </row>
    <row r="290" spans="2:18" x14ac:dyDescent="0.2">
      <c r="C290" s="270"/>
      <c r="D290" s="211"/>
      <c r="E290" s="211"/>
      <c r="F290" s="211"/>
    </row>
    <row r="291" spans="2:18" x14ac:dyDescent="0.2">
      <c r="B291" s="1" t="s">
        <v>3</v>
      </c>
      <c r="C291" s="1" t="s">
        <v>211</v>
      </c>
      <c r="D291" s="7">
        <f>SUM(D292:D297)</f>
        <v>172838.21054033903</v>
      </c>
      <c r="E291" s="7">
        <f>SUM(E292:E297)</f>
        <v>3456.7642108067807</v>
      </c>
      <c r="F291" s="7">
        <f>SUM(F292:F297)</f>
        <v>288.06368423389836</v>
      </c>
      <c r="G291" s="1"/>
      <c r="H291" s="1"/>
    </row>
    <row r="292" spans="2:18" x14ac:dyDescent="0.2">
      <c r="B292" t="str">
        <f t="shared" ref="B292:B297" si="16">B59</f>
        <v>Jaarlijks grondgebruik</v>
      </c>
      <c r="C292" s="270" t="s">
        <v>211</v>
      </c>
      <c r="D292" s="3">
        <f t="shared" ref="D292:D297" si="17">E59</f>
        <v>35700</v>
      </c>
      <c r="E292" s="3">
        <f>D292/$D$259</f>
        <v>714</v>
      </c>
      <c r="F292" s="3">
        <f t="shared" ref="F292:F297" si="18">D292/$D$260</f>
        <v>59.5</v>
      </c>
    </row>
    <row r="293" spans="2:18" x14ac:dyDescent="0.2">
      <c r="B293" t="str">
        <f t="shared" si="16"/>
        <v>Gewasverzorging</v>
      </c>
      <c r="C293" s="270" t="s">
        <v>211</v>
      </c>
      <c r="D293" s="3">
        <f t="shared" si="17"/>
        <v>26000</v>
      </c>
      <c r="E293" s="3">
        <f t="shared" ref="E293:E297" si="19">D293/$D$259</f>
        <v>520</v>
      </c>
      <c r="F293" s="3">
        <f t="shared" si="18"/>
        <v>43.333333333333336</v>
      </c>
    </row>
    <row r="294" spans="2:18" x14ac:dyDescent="0.2">
      <c r="B294" t="str">
        <f t="shared" si="16"/>
        <v>Energieverbruik en water</v>
      </c>
      <c r="C294" s="270" t="s">
        <v>211</v>
      </c>
      <c r="D294" s="3">
        <f t="shared" si="17"/>
        <v>5000</v>
      </c>
      <c r="E294" s="3">
        <f t="shared" si="19"/>
        <v>100</v>
      </c>
      <c r="F294" s="3">
        <f t="shared" si="18"/>
        <v>8.3333333333333339</v>
      </c>
    </row>
    <row r="295" spans="2:18" x14ac:dyDescent="0.2">
      <c r="B295" t="str">
        <f t="shared" si="16"/>
        <v>Belastingen en verzekeringen</v>
      </c>
      <c r="C295" s="270" t="s">
        <v>211</v>
      </c>
      <c r="D295" s="3">
        <f t="shared" si="17"/>
        <v>7420</v>
      </c>
      <c r="E295" s="3">
        <f t="shared" si="19"/>
        <v>148.4</v>
      </c>
      <c r="F295" s="3">
        <f t="shared" si="18"/>
        <v>12.366666666666667</v>
      </c>
    </row>
    <row r="296" spans="2:18" x14ac:dyDescent="0.2">
      <c r="B296" t="str">
        <f t="shared" si="16"/>
        <v>Onderhoud</v>
      </c>
      <c r="C296" s="270" t="s">
        <v>211</v>
      </c>
      <c r="D296" s="3">
        <f t="shared" si="17"/>
        <v>18375</v>
      </c>
      <c r="E296" s="3">
        <f t="shared" si="19"/>
        <v>367.5</v>
      </c>
      <c r="F296" s="3">
        <f t="shared" si="18"/>
        <v>30.625</v>
      </c>
      <c r="H296" s="52"/>
    </row>
    <row r="297" spans="2:18" x14ac:dyDescent="0.2">
      <c r="B297" t="str">
        <f t="shared" si="16"/>
        <v>Afschrijving &amp; aflossing teeltinvesteringen</v>
      </c>
      <c r="C297" s="270" t="s">
        <v>211</v>
      </c>
      <c r="D297" s="3">
        <f t="shared" si="17"/>
        <v>80343.210540339031</v>
      </c>
      <c r="E297" s="3">
        <f t="shared" si="19"/>
        <v>1606.8642108067806</v>
      </c>
      <c r="F297" s="3">
        <f t="shared" si="18"/>
        <v>133.90535090056505</v>
      </c>
    </row>
    <row r="298" spans="2:18" x14ac:dyDescent="0.2">
      <c r="C298" s="270"/>
      <c r="D298" s="3"/>
      <c r="E298" s="3"/>
      <c r="F298" s="3"/>
    </row>
    <row r="299" spans="2:18" s="28" customFormat="1" ht="19" x14ac:dyDescent="0.25">
      <c r="B299" s="1" t="s">
        <v>94</v>
      </c>
      <c r="C299" s="1" t="s">
        <v>211</v>
      </c>
      <c r="D299" s="8">
        <f>SUM(D300:D302)</f>
        <v>232008.33333333334</v>
      </c>
      <c r="E299" s="8">
        <f>SUM(E300:E302)</f>
        <v>4640.166666666667</v>
      </c>
      <c r="F299" s="8">
        <f>SUM(F300:F302)</f>
        <v>386.68055555555554</v>
      </c>
      <c r="G299" s="285"/>
      <c r="H299" s="285"/>
      <c r="K299" s="175"/>
      <c r="N299"/>
      <c r="O299"/>
      <c r="P299"/>
      <c r="Q299"/>
      <c r="R299"/>
    </row>
    <row r="300" spans="2:18" x14ac:dyDescent="0.2">
      <c r="B300" t="s">
        <v>4</v>
      </c>
      <c r="C300" s="270" t="s">
        <v>211</v>
      </c>
      <c r="D300" s="3">
        <f>SUM(E114,E116)</f>
        <v>87250</v>
      </c>
      <c r="E300" s="3">
        <f>D300/$D$259</f>
        <v>1745</v>
      </c>
      <c r="F300" s="3">
        <f>D300/$D$260</f>
        <v>145.41666666666666</v>
      </c>
    </row>
    <row r="301" spans="2:18" x14ac:dyDescent="0.2">
      <c r="B301" t="s">
        <v>5</v>
      </c>
      <c r="C301" s="270" t="s">
        <v>211</v>
      </c>
      <c r="D301" s="3">
        <f>SUM(E115,E117)</f>
        <v>5425</v>
      </c>
      <c r="E301" s="3">
        <f t="shared" ref="E301:E302" si="20">D301/$D$259</f>
        <v>108.5</v>
      </c>
      <c r="F301" s="3">
        <f>D301/$D$260</f>
        <v>9.0416666666666661</v>
      </c>
    </row>
    <row r="302" spans="2:18" x14ac:dyDescent="0.2">
      <c r="B302" t="str">
        <f>B118</f>
        <v>Voordroogkosten</v>
      </c>
      <c r="C302" s="270" t="s">
        <v>211</v>
      </c>
      <c r="D302" s="3">
        <f>E118</f>
        <v>139333.33333333334</v>
      </c>
      <c r="E302" s="3">
        <f t="shared" si="20"/>
        <v>2786.666666666667</v>
      </c>
      <c r="F302" s="3">
        <f>D302/$D$260</f>
        <v>232.22222222222223</v>
      </c>
      <c r="N302" s="28"/>
      <c r="O302" s="28"/>
      <c r="P302" s="28"/>
      <c r="Q302" s="28"/>
      <c r="R302" s="28"/>
    </row>
    <row r="303" spans="2:18" x14ac:dyDescent="0.2">
      <c r="C303" s="270"/>
      <c r="D303" s="3"/>
      <c r="E303" s="3"/>
      <c r="F303" s="3"/>
    </row>
    <row r="304" spans="2:18" x14ac:dyDescent="0.2">
      <c r="B304" s="52" t="s">
        <v>225</v>
      </c>
      <c r="C304" s="270" t="s">
        <v>211</v>
      </c>
      <c r="D304" s="93"/>
      <c r="E304" s="93"/>
      <c r="F304" s="93"/>
    </row>
    <row r="305" spans="2:8" customFormat="1" x14ac:dyDescent="0.2">
      <c r="B305" s="284"/>
      <c r="C305" s="270"/>
      <c r="H305" s="293"/>
    </row>
    <row r="306" spans="2:8" customFormat="1" x14ac:dyDescent="0.2">
      <c r="B306" s="284"/>
      <c r="C306" s="270"/>
      <c r="H306" s="28"/>
    </row>
    <row r="307" spans="2:8" customFormat="1" ht="19" x14ac:dyDescent="0.25">
      <c r="B307" s="291" t="s">
        <v>226</v>
      </c>
      <c r="C307" s="291" t="s">
        <v>211</v>
      </c>
      <c r="D307" s="292">
        <f>D262-D289</f>
        <v>9252.5407716977643</v>
      </c>
      <c r="E307" s="292">
        <f>E262-E289</f>
        <v>185.05081543395681</v>
      </c>
      <c r="F307" s="292">
        <f>F262-F289</f>
        <v>15.42090128616303</v>
      </c>
      <c r="H307" s="28"/>
    </row>
    <row r="308" spans="2:8" customFormat="1" ht="19" x14ac:dyDescent="0.25">
      <c r="B308" s="410"/>
      <c r="C308" s="410"/>
      <c r="D308" s="411">
        <f>D307/D262</f>
        <v>2.2343784651496001E-2</v>
      </c>
      <c r="E308" s="411">
        <f t="shared" ref="E308:F308" si="21">E307/E262</f>
        <v>2.2343784651496182E-2</v>
      </c>
      <c r="F308" s="412">
        <f t="shared" si="21"/>
        <v>2.234378465149613E-2</v>
      </c>
      <c r="H308" s="28"/>
    </row>
    <row r="309" spans="2:8" customFormat="1" x14ac:dyDescent="0.2">
      <c r="C309" s="270"/>
      <c r="D309" s="3"/>
      <c r="E309" s="3"/>
      <c r="F309" s="3"/>
      <c r="H309" s="28"/>
    </row>
    <row r="310" spans="2:8" customFormat="1" x14ac:dyDescent="0.2">
      <c r="B310" s="1" t="s">
        <v>227</v>
      </c>
      <c r="C310" s="1" t="s">
        <v>211</v>
      </c>
      <c r="D310" s="8">
        <f>D264-D289</f>
        <v>-52077.959228302236</v>
      </c>
      <c r="E310" s="8">
        <f>E264-E289</f>
        <v>-1041.5591845660438</v>
      </c>
      <c r="F310" s="8">
        <f>F264-F289</f>
        <v>-86.796598713837056</v>
      </c>
      <c r="H310" s="28"/>
    </row>
    <row r="311" spans="2:8" customFormat="1" x14ac:dyDescent="0.2">
      <c r="B311" s="52" t="s">
        <v>751</v>
      </c>
      <c r="C311" s="270"/>
      <c r="D311" s="413">
        <f>D310/D264</f>
        <v>-0.14762640862891738</v>
      </c>
      <c r="E311" s="413">
        <f t="shared" ref="E311:F311" si="22">E310/E264</f>
        <v>-0.14762640862891721</v>
      </c>
      <c r="F311" s="413">
        <f t="shared" si="22"/>
        <v>-0.14762640862891738</v>
      </c>
      <c r="H311" s="28"/>
    </row>
    <row r="312" spans="2:8" customFormat="1" x14ac:dyDescent="0.2">
      <c r="C312" s="270"/>
      <c r="D312" s="3"/>
      <c r="E312" s="3"/>
      <c r="F312" s="3"/>
      <c r="H312" s="28"/>
    </row>
    <row r="313" spans="2:8" customFormat="1" x14ac:dyDescent="0.2">
      <c r="B313" s="1" t="s">
        <v>228</v>
      </c>
      <c r="C313" s="1" t="s">
        <v>211</v>
      </c>
      <c r="D313" s="7">
        <f>D264+D283+D284-D289</f>
        <v>-33247.459228302236</v>
      </c>
      <c r="E313" s="7">
        <f>E264+E283+E284-E289</f>
        <v>-664.9491845660441</v>
      </c>
      <c r="F313" s="7">
        <f>F264+F283+F284-F289</f>
        <v>-55.412432047170341</v>
      </c>
      <c r="H313" s="28"/>
    </row>
    <row r="314" spans="2:8" customFormat="1" x14ac:dyDescent="0.2">
      <c r="B314" s="52" t="s">
        <v>743</v>
      </c>
      <c r="D314" s="413">
        <f>D313/(D264+D283+D284)</f>
        <v>-8.9471316270952159E-2</v>
      </c>
      <c r="E314" s="413">
        <f t="shared" ref="E314:F314" si="23">E313/(E264+E283+E284)</f>
        <v>-8.9471316270952075E-2</v>
      </c>
      <c r="F314" s="413">
        <f t="shared" si="23"/>
        <v>-8.9471316270952075E-2</v>
      </c>
      <c r="H314" s="28"/>
    </row>
    <row r="315" spans="2:8" customFormat="1" x14ac:dyDescent="0.2">
      <c r="H315" s="28"/>
    </row>
    <row r="316" spans="2:8" customFormat="1" x14ac:dyDescent="0.2">
      <c r="B316" s="1" t="s">
        <v>745</v>
      </c>
      <c r="C316" s="1" t="s">
        <v>211</v>
      </c>
      <c r="D316" s="7">
        <f>D264+D272+D283+D284-D289</f>
        <v>-20747.459228302236</v>
      </c>
      <c r="E316" s="7">
        <f>E264+E272+E283+E284-E289</f>
        <v>-414.9491845660441</v>
      </c>
      <c r="F316" s="7">
        <f>F264+F272+F283+F284-F289</f>
        <v>-34.57909871383697</v>
      </c>
      <c r="H316" s="28"/>
    </row>
    <row r="317" spans="2:8" customFormat="1" x14ac:dyDescent="0.2">
      <c r="B317" s="52" t="s">
        <v>744</v>
      </c>
      <c r="D317" s="413">
        <f>D316/(D264+D283+D284+D272)</f>
        <v>-5.4015903858396039E-2</v>
      </c>
      <c r="E317" s="413">
        <f t="shared" ref="E317:F317" si="24">E316/(E264+E283+E284+E272)</f>
        <v>-5.4015903858395956E-2</v>
      </c>
      <c r="F317" s="413">
        <f t="shared" si="24"/>
        <v>-5.40159038583959E-2</v>
      </c>
    </row>
    <row r="318" spans="2:8" customFormat="1" x14ac:dyDescent="0.2">
      <c r="H318" s="28"/>
    </row>
    <row r="319" spans="2:8" customFormat="1" x14ac:dyDescent="0.2">
      <c r="B319" s="1" t="s">
        <v>746</v>
      </c>
      <c r="C319" s="1" t="s">
        <v>211</v>
      </c>
      <c r="D319" s="7">
        <f>D264+D272+D280+D283+D284-D289</f>
        <v>9252.5407716977643</v>
      </c>
      <c r="E319" s="7">
        <f t="shared" ref="E319:F319" si="25">E264+E272+E280+E283+E284-E289</f>
        <v>185.05081543395681</v>
      </c>
      <c r="F319" s="7">
        <f t="shared" si="25"/>
        <v>15.42090128616303</v>
      </c>
      <c r="H319" s="28"/>
    </row>
    <row r="320" spans="2:8" customFormat="1" x14ac:dyDescent="0.2">
      <c r="B320" s="52" t="s">
        <v>221</v>
      </c>
      <c r="D320" s="413">
        <f>D319/(D264+D283+D284+D272+D280)</f>
        <v>2.2343784651496001E-2</v>
      </c>
      <c r="E320" s="413">
        <f t="shared" ref="E320:F320" si="26">E319/(E264+E283+E284+E272+E280)</f>
        <v>2.2343784651496182E-2</v>
      </c>
      <c r="F320" s="413">
        <f t="shared" si="26"/>
        <v>2.234378465149613E-2</v>
      </c>
    </row>
    <row r="323" spans="2:8" customFormat="1" ht="19" x14ac:dyDescent="0.25">
      <c r="B323" s="291" t="s">
        <v>229</v>
      </c>
      <c r="C323" s="291"/>
      <c r="D323" s="291"/>
      <c r="E323" s="291"/>
      <c r="F323" s="291"/>
    </row>
    <row r="324" spans="2:8" customFormat="1" x14ac:dyDescent="0.2">
      <c r="B324" s="38"/>
    </row>
    <row r="325" spans="2:8" customFormat="1" x14ac:dyDescent="0.2">
      <c r="B325" s="269" t="s">
        <v>231</v>
      </c>
    </row>
    <row r="326" spans="2:8" customFormat="1" x14ac:dyDescent="0.2">
      <c r="B326" s="52" t="s">
        <v>757</v>
      </c>
    </row>
    <row r="327" spans="2:8" customFormat="1" x14ac:dyDescent="0.2">
      <c r="B327" s="269"/>
    </row>
    <row r="328" spans="2:8" customFormat="1" x14ac:dyDescent="0.2">
      <c r="B328" t="s">
        <v>756</v>
      </c>
      <c r="C328" t="s">
        <v>232</v>
      </c>
      <c r="F328" s="407">
        <f>D289/D260</f>
        <v>674.7442397894539</v>
      </c>
    </row>
    <row r="329" spans="2:8" customFormat="1" x14ac:dyDescent="0.2">
      <c r="C329" s="52"/>
    </row>
    <row r="330" spans="2:8" customFormat="1" x14ac:dyDescent="0.2">
      <c r="B330" t="s">
        <v>765</v>
      </c>
      <c r="C330" t="s">
        <v>232</v>
      </c>
      <c r="F330" s="407">
        <f>(D289+P259)/D260</f>
        <v>776.71203943167222</v>
      </c>
    </row>
    <row r="331" spans="2:8" customFormat="1" x14ac:dyDescent="0.2">
      <c r="B331" s="52"/>
      <c r="C331" s="52"/>
    </row>
    <row r="332" spans="2:8" customFormat="1" x14ac:dyDescent="0.2">
      <c r="B332" s="297" t="s">
        <v>766</v>
      </c>
    </row>
    <row r="333" spans="2:8" customFormat="1" x14ac:dyDescent="0.2">
      <c r="B333" s="296" t="s">
        <v>758</v>
      </c>
    </row>
    <row r="334" spans="2:8" customFormat="1" x14ac:dyDescent="0.2">
      <c r="B334" s="296"/>
    </row>
    <row r="335" spans="2:8" customFormat="1" x14ac:dyDescent="0.2">
      <c r="B335" t="s">
        <v>754</v>
      </c>
      <c r="C335" t="s">
        <v>30</v>
      </c>
      <c r="D335" s="406">
        <f>D289/E264</f>
        <v>57.381320431445864</v>
      </c>
      <c r="E335" s="405">
        <f>E289/E264</f>
        <v>1.1476264086289172</v>
      </c>
    </row>
    <row r="336" spans="2:8" customFormat="1" x14ac:dyDescent="0.2">
      <c r="H336" s="28"/>
    </row>
    <row r="337" spans="2:8" customFormat="1" x14ac:dyDescent="0.2">
      <c r="B337" s="177" t="s">
        <v>230</v>
      </c>
      <c r="C337" t="s">
        <v>30</v>
      </c>
      <c r="D337" s="406">
        <f>D289/(E264+E283+E284)</f>
        <v>54.473565813547609</v>
      </c>
      <c r="E337" s="405">
        <f>E289/(E264+E283+E284)</f>
        <v>1.0894713162709522</v>
      </c>
    </row>
    <row r="338" spans="2:8" customFormat="1" x14ac:dyDescent="0.2">
      <c r="B338" s="177"/>
      <c r="D338" s="406"/>
      <c r="E338" s="405"/>
    </row>
    <row r="339" spans="2:8" customFormat="1" x14ac:dyDescent="0.2">
      <c r="B339" s="270" t="s">
        <v>760</v>
      </c>
      <c r="C339" t="s">
        <v>30</v>
      </c>
      <c r="D339" s="406">
        <f>D289/(E264+E283+E284+E272)</f>
        <v>52.700795192919799</v>
      </c>
      <c r="E339" s="405">
        <f>E289/(E264+E283+E284+E272)</f>
        <v>1.0540159038583961</v>
      </c>
    </row>
    <row r="340" spans="2:8" customFormat="1" x14ac:dyDescent="0.2">
      <c r="B340" s="177"/>
      <c r="D340" s="406"/>
      <c r="E340" s="405"/>
    </row>
    <row r="341" spans="2:8" customFormat="1" x14ac:dyDescent="0.2">
      <c r="B341" s="270" t="s">
        <v>761</v>
      </c>
      <c r="C341" t="s">
        <v>30</v>
      </c>
      <c r="D341" s="406">
        <f>D289/(E264+E283+E284+E272+E280)</f>
        <v>48.882810767425191</v>
      </c>
      <c r="E341" s="405">
        <f>E289/(E264+E283+E284+E272+E280)</f>
        <v>0.97765621534850378</v>
      </c>
    </row>
    <row r="342" spans="2:8" customFormat="1" x14ac:dyDescent="0.2">
      <c r="B342" s="177"/>
      <c r="D342" s="406"/>
      <c r="E342" s="405"/>
    </row>
    <row r="343" spans="2:8" customFormat="1" x14ac:dyDescent="0.2">
      <c r="B343" s="38" t="s">
        <v>762</v>
      </c>
      <c r="C343" t="s">
        <v>30</v>
      </c>
      <c r="D343" s="406">
        <f>D289/E262</f>
        <v>48.882810767425191</v>
      </c>
      <c r="E343" s="405">
        <f>E289/E262</f>
        <v>0.97765621534850378</v>
      </c>
    </row>
    <row r="344" spans="2:8" customFormat="1" x14ac:dyDescent="0.2">
      <c r="B344" s="177"/>
      <c r="D344" s="406"/>
      <c r="E344" s="405"/>
    </row>
    <row r="345" spans="2:8" customFormat="1" x14ac:dyDescent="0.2">
      <c r="B345" s="297" t="s">
        <v>767</v>
      </c>
    </row>
    <row r="346" spans="2:8" customFormat="1" x14ac:dyDescent="0.2">
      <c r="B346" s="296" t="s">
        <v>758</v>
      </c>
    </row>
    <row r="347" spans="2:8" customFormat="1" x14ac:dyDescent="0.2">
      <c r="B347" s="296"/>
    </row>
    <row r="348" spans="2:8" customFormat="1" x14ac:dyDescent="0.2">
      <c r="B348" t="s">
        <v>754</v>
      </c>
      <c r="C348" t="s">
        <v>30</v>
      </c>
      <c r="D348" s="406">
        <f>(D289+P259)/E264</f>
        <v>66.052823854410022</v>
      </c>
      <c r="E348" s="405">
        <f>(E289+Q259)/E264</f>
        <v>1.3210564770882005</v>
      </c>
    </row>
    <row r="349" spans="2:8" customFormat="1" x14ac:dyDescent="0.2">
      <c r="H349" s="28"/>
    </row>
    <row r="350" spans="2:8" customFormat="1" x14ac:dyDescent="0.2">
      <c r="B350" s="177" t="s">
        <v>230</v>
      </c>
      <c r="C350" t="s">
        <v>30</v>
      </c>
      <c r="D350" s="406">
        <f>(D289+P259)/(E264+E283+E284)</f>
        <v>62.705647418877419</v>
      </c>
      <c r="E350" s="405">
        <f>(E289+Q259)/(E264+E283+E284)</f>
        <v>1.2541129483775484</v>
      </c>
    </row>
    <row r="351" spans="2:8" customFormat="1" x14ac:dyDescent="0.2">
      <c r="B351" s="177"/>
      <c r="D351" s="406"/>
      <c r="E351" s="405"/>
    </row>
    <row r="352" spans="2:8" customFormat="1" x14ac:dyDescent="0.2">
      <c r="B352" s="270" t="s">
        <v>760</v>
      </c>
      <c r="C352" t="s">
        <v>30</v>
      </c>
      <c r="D352" s="406">
        <f>(D289+P259)/(E264+E283+E284+E272)</f>
        <v>60.664974519436242</v>
      </c>
      <c r="E352" s="405">
        <f>(E289+Q259)/(E264+E283+E284+E272)</f>
        <v>1.2132994903887251</v>
      </c>
    </row>
    <row r="353" spans="2:8" customFormat="1" x14ac:dyDescent="0.2">
      <c r="B353" s="177"/>
      <c r="D353" s="406"/>
      <c r="E353" s="405"/>
    </row>
    <row r="354" spans="2:8" customFormat="1" x14ac:dyDescent="0.2">
      <c r="B354" s="270" t="s">
        <v>761</v>
      </c>
      <c r="C354" t="s">
        <v>30</v>
      </c>
      <c r="D354" s="406">
        <f>(D289+P259)/(E264+E283+E284+E272+E280)</f>
        <v>56.270013740564508</v>
      </c>
      <c r="E354" s="405">
        <f>(E289+Q259)/(E264+E283+E284+E272+E280)</f>
        <v>1.1254002748112901</v>
      </c>
    </row>
    <row r="355" spans="2:8" customFormat="1" x14ac:dyDescent="0.2">
      <c r="B355" s="177"/>
      <c r="D355" s="406"/>
      <c r="E355" s="405"/>
    </row>
    <row r="356" spans="2:8" customFormat="1" x14ac:dyDescent="0.2">
      <c r="B356" s="38" t="s">
        <v>762</v>
      </c>
      <c r="C356" t="s">
        <v>30</v>
      </c>
      <c r="D356" s="406">
        <f>(D289+P259)/E262</f>
        <v>56.270013740564508</v>
      </c>
      <c r="E356" s="405">
        <f>(E289+Q259)/E262</f>
        <v>1.1254002748112901</v>
      </c>
    </row>
    <row r="357" spans="2:8" customFormat="1" x14ac:dyDescent="0.2">
      <c r="B357" s="177"/>
      <c r="D357" s="406"/>
      <c r="E357" s="405"/>
    </row>
    <row r="358" spans="2:8" customFormat="1" x14ac:dyDescent="0.2">
      <c r="B358" s="269" t="s">
        <v>768</v>
      </c>
    </row>
    <row r="359" spans="2:8" customFormat="1" x14ac:dyDescent="0.2">
      <c r="B359" s="52" t="s">
        <v>759</v>
      </c>
    </row>
    <row r="361" spans="2:8" customFormat="1" x14ac:dyDescent="0.2">
      <c r="B361" t="s">
        <v>754</v>
      </c>
      <c r="C361" t="s">
        <v>81</v>
      </c>
      <c r="D361" s="407">
        <f>D$289/$F$264</f>
        <v>688.57584517735052</v>
      </c>
      <c r="E361" s="406">
        <f>E$289/$F$264</f>
        <v>13.77151690354701</v>
      </c>
      <c r="F361" s="405">
        <f>F$289/$F$264</f>
        <v>1.1476264086289174</v>
      </c>
      <c r="H361" s="28"/>
    </row>
    <row r="362" spans="2:8" customFormat="1" x14ac:dyDescent="0.2">
      <c r="B362" s="52"/>
    </row>
    <row r="363" spans="2:8" customFormat="1" x14ac:dyDescent="0.2">
      <c r="B363" s="177" t="s">
        <v>230</v>
      </c>
      <c r="C363" t="s">
        <v>81</v>
      </c>
      <c r="D363" s="407">
        <f>D$289/($F$264+$F$283+$F$284)</f>
        <v>653.68278976257125</v>
      </c>
      <c r="E363" s="406">
        <f>E$289/($F$264+$F$283+$F$284)</f>
        <v>13.073655795251426</v>
      </c>
      <c r="F363" s="405">
        <f>F$289/($F$264+$F$283+$F$284)</f>
        <v>1.0894713162709522</v>
      </c>
      <c r="H363" s="28"/>
    </row>
    <row r="364" spans="2:8" customFormat="1" x14ac:dyDescent="0.2">
      <c r="B364" s="296"/>
      <c r="H364" s="28"/>
    </row>
    <row r="365" spans="2:8" customFormat="1" x14ac:dyDescent="0.2">
      <c r="B365" s="270" t="s">
        <v>760</v>
      </c>
      <c r="C365" t="s">
        <v>81</v>
      </c>
      <c r="D365" s="407">
        <f>D$289/($F$264+$F$283+$F$284+$F$272)</f>
        <v>632.40954231503758</v>
      </c>
      <c r="E365" s="406">
        <f>E$289/($F$264+$F$283+$F$284+$F$272)</f>
        <v>12.648190846300752</v>
      </c>
      <c r="F365" s="405">
        <f>F$289/($F$264+$F$283+$F$284+$F$272)</f>
        <v>1.0540159038583958</v>
      </c>
      <c r="H365" s="28"/>
    </row>
    <row r="366" spans="2:8" customFormat="1" x14ac:dyDescent="0.2">
      <c r="B366" s="177"/>
    </row>
    <row r="367" spans="2:8" customFormat="1" x14ac:dyDescent="0.2">
      <c r="B367" s="270" t="s">
        <v>761</v>
      </c>
      <c r="C367" t="s">
        <v>81</v>
      </c>
      <c r="D367" s="407">
        <f>D$289/($F$264+$F$283+$F$284+$F$272+$F$280)</f>
        <v>586.59372920910232</v>
      </c>
      <c r="E367" s="406">
        <f>E$289/($F$264+$F$283+$F$284+$F$272+$F$280)</f>
        <v>11.731874584182048</v>
      </c>
      <c r="F367" s="405">
        <f>F$289/($F$264+$F$283+$F$284+$F$272+$F$280)</f>
        <v>0.97765621534850389</v>
      </c>
    </row>
    <row r="368" spans="2:8" customFormat="1" x14ac:dyDescent="0.2">
      <c r="B368" s="177"/>
    </row>
    <row r="369" spans="2:8" customFormat="1" x14ac:dyDescent="0.2">
      <c r="B369" s="38" t="s">
        <v>762</v>
      </c>
      <c r="C369" t="s">
        <v>81</v>
      </c>
      <c r="D369" s="407">
        <f>D$289/$F$262</f>
        <v>586.59372920910232</v>
      </c>
      <c r="E369" s="406">
        <f>E$289/$F$262</f>
        <v>11.731874584182048</v>
      </c>
      <c r="F369" s="405">
        <f>F$289/$F$262</f>
        <v>0.97765621534850389</v>
      </c>
    </row>
    <row r="371" spans="2:8" customFormat="1" x14ac:dyDescent="0.2">
      <c r="B371" s="269" t="s">
        <v>769</v>
      </c>
    </row>
    <row r="372" spans="2:8" customFormat="1" x14ac:dyDescent="0.2">
      <c r="B372" s="52" t="s">
        <v>759</v>
      </c>
    </row>
    <row r="374" spans="2:8" customFormat="1" x14ac:dyDescent="0.2">
      <c r="B374" t="s">
        <v>754</v>
      </c>
      <c r="C374" t="s">
        <v>81</v>
      </c>
      <c r="D374" s="407">
        <f>(D$289+$P$259)/$F$264</f>
        <v>792.63388625292032</v>
      </c>
      <c r="E374" s="406">
        <f>(E$289+$Q$259)/$F$264</f>
        <v>15.852677725058408</v>
      </c>
      <c r="F374" s="405">
        <f>(F$289+$R$259)/$F$264</f>
        <v>1.3210564770882005</v>
      </c>
      <c r="H374" s="6"/>
    </row>
    <row r="375" spans="2:8" customFormat="1" x14ac:dyDescent="0.2">
      <c r="B375" s="52"/>
      <c r="G375" s="212"/>
      <c r="H375" s="212"/>
    </row>
    <row r="376" spans="2:8" customFormat="1" ht="17" x14ac:dyDescent="0.2">
      <c r="B376" s="177" t="s">
        <v>230</v>
      </c>
      <c r="C376" t="s">
        <v>81</v>
      </c>
      <c r="D376" s="407">
        <f>(D$289+$P$259)/($F$264+$F$283+$F$284)</f>
        <v>752.46776902652903</v>
      </c>
      <c r="E376" s="406">
        <f>(E$289+$Q$259)/($F$264+$F$283+$F$284)</f>
        <v>15.049355380530582</v>
      </c>
      <c r="F376" s="405">
        <f>(F$289+$R$259)/($F$264+$F$283+$F$284)</f>
        <v>1.2541129483775482</v>
      </c>
      <c r="G376" s="210"/>
      <c r="H376" s="210"/>
    </row>
    <row r="377" spans="2:8" customFormat="1" ht="17" x14ac:dyDescent="0.2">
      <c r="B377" s="296"/>
      <c r="G377" s="210"/>
      <c r="H377" s="210"/>
    </row>
    <row r="378" spans="2:8" customFormat="1" ht="17" x14ac:dyDescent="0.2">
      <c r="B378" s="270" t="s">
        <v>760</v>
      </c>
      <c r="C378" t="s">
        <v>81</v>
      </c>
      <c r="D378" s="407">
        <f>(D$289+$P$259)/($F$264+$F$283+$F$284+$F$272)</f>
        <v>727.97969423323491</v>
      </c>
      <c r="E378" s="406">
        <f>(E$289+$Q$259)/($F$264+$F$283+$F$284+$F$272)</f>
        <v>14.5595938846647</v>
      </c>
      <c r="F378" s="405">
        <f>(F$289+$R$259)/($F$264+$F$283+$F$284+$F$272)</f>
        <v>1.2132994903887249</v>
      </c>
      <c r="G378" s="210"/>
      <c r="H378" s="210"/>
    </row>
    <row r="379" spans="2:8" customFormat="1" ht="17" x14ac:dyDescent="0.2">
      <c r="B379" s="177"/>
      <c r="G379" s="210"/>
      <c r="H379" s="210"/>
    </row>
    <row r="380" spans="2:8" customFormat="1" x14ac:dyDescent="0.2">
      <c r="B380" s="270" t="s">
        <v>761</v>
      </c>
      <c r="C380" t="s">
        <v>81</v>
      </c>
      <c r="D380" s="407">
        <f>(D$289+$P$259)/($F$264+$F$283+$F$284+$F$272+$F$280)</f>
        <v>675.24016488677421</v>
      </c>
      <c r="E380" s="406">
        <f>(E$289+$Q$259)/($F$264+$F$283+$F$284+$F$272+$F$280)</f>
        <v>13.504803297735483</v>
      </c>
      <c r="F380" s="405">
        <f>(F$289+$R$259)/($F$264+$F$283+$F$284+$F$272+$F$280)</f>
        <v>1.1254002748112901</v>
      </c>
    </row>
    <row r="381" spans="2:8" customFormat="1" x14ac:dyDescent="0.2">
      <c r="B381" s="177"/>
    </row>
    <row r="382" spans="2:8" customFormat="1" x14ac:dyDescent="0.2">
      <c r="B382" s="38" t="s">
        <v>762</v>
      </c>
      <c r="C382" t="s">
        <v>81</v>
      </c>
      <c r="D382" s="407">
        <f>(D$289+$P$259)/$F$262</f>
        <v>675.24016488677421</v>
      </c>
      <c r="E382" s="406">
        <f>(E$289+$Q$259)/$F$262</f>
        <v>13.504803297735483</v>
      </c>
      <c r="F382" s="405">
        <f>(F$289+$R$259)/$F$262</f>
        <v>1.1254002748112901</v>
      </c>
    </row>
    <row r="384" spans="2:8" x14ac:dyDescent="0.2">
      <c r="B384" s="269" t="s">
        <v>974</v>
      </c>
    </row>
    <row r="385" spans="2:8" customFormat="1" x14ac:dyDescent="0.2">
      <c r="B385" s="296"/>
      <c r="H385" s="28"/>
    </row>
    <row r="386" spans="2:8" customFormat="1" x14ac:dyDescent="0.2">
      <c r="B386" t="s">
        <v>973</v>
      </c>
      <c r="C386" t="s">
        <v>124</v>
      </c>
      <c r="D386" s="294">
        <f>D289+P259</f>
        <v>466027.22365900333</v>
      </c>
      <c r="E386" s="294">
        <f t="shared" ref="E386:F386" si="27">E289+Q259</f>
        <v>9320.5444731800671</v>
      </c>
      <c r="F386" s="294">
        <f t="shared" si="27"/>
        <v>776.71203943167211</v>
      </c>
      <c r="H386" s="28"/>
    </row>
    <row r="387" spans="2:8" customFormat="1" x14ac:dyDescent="0.2">
      <c r="H387" s="28"/>
    </row>
    <row r="388" spans="2:8" customFormat="1" x14ac:dyDescent="0.2">
      <c r="B388" s="52"/>
    </row>
    <row r="391" spans="2:8" customFormat="1" x14ac:dyDescent="0.2">
      <c r="B391" s="52"/>
      <c r="C391" s="52"/>
    </row>
    <row r="393" spans="2:8" customFormat="1" x14ac:dyDescent="0.2">
      <c r="B393" s="297"/>
    </row>
    <row r="394" spans="2:8" customFormat="1" x14ac:dyDescent="0.2">
      <c r="B394" s="295"/>
    </row>
    <row r="396" spans="2:8" customFormat="1" x14ac:dyDescent="0.2">
      <c r="B396" s="296"/>
    </row>
    <row r="399" spans="2:8" customFormat="1" x14ac:dyDescent="0.2">
      <c r="B399" s="52"/>
    </row>
    <row r="402" spans="2:3" customFormat="1" x14ac:dyDescent="0.2">
      <c r="B402" s="52"/>
      <c r="C402" s="52"/>
    </row>
  </sheetData>
  <mergeCells count="15">
    <mergeCell ref="C113:D113"/>
    <mergeCell ref="E113:F113"/>
    <mergeCell ref="C109:D109"/>
    <mergeCell ref="E109:F109"/>
    <mergeCell ref="C58:D58"/>
    <mergeCell ref="E58:F58"/>
    <mergeCell ref="C67:D67"/>
    <mergeCell ref="E67:F67"/>
    <mergeCell ref="D28:R28"/>
    <mergeCell ref="D22:R22"/>
    <mergeCell ref="D13:R13"/>
    <mergeCell ref="D16:R16"/>
    <mergeCell ref="D20:R20"/>
    <mergeCell ref="D24:R24"/>
    <mergeCell ref="D26:R26"/>
  </mergeCells>
  <conditionalFormatting sqref="D162">
    <cfRule type="cellIs" dxfId="199" priority="10" operator="equal">
      <formula>$C$162</formula>
    </cfRule>
    <cfRule type="cellIs" dxfId="198" priority="11" operator="greaterThan">
      <formula>$C$162</formula>
    </cfRule>
    <cfRule type="cellIs" dxfId="197" priority="102" operator="lessThan">
      <formula>$C$162</formula>
    </cfRule>
  </conditionalFormatting>
  <conditionalFormatting sqref="N186:R199">
    <cfRule type="expression" dxfId="196" priority="145">
      <formula>$O$184="Nee"</formula>
    </cfRule>
  </conditionalFormatting>
  <conditionalFormatting sqref="N202:R212 N201 P201:R201">
    <cfRule type="expression" dxfId="195" priority="144">
      <formula>$O$201="Nee"</formula>
    </cfRule>
  </conditionalFormatting>
  <conditionalFormatting sqref="N215:R225 N214 P214:R214">
    <cfRule type="expression" dxfId="194" priority="139">
      <formula>$O$214="Nee"</formula>
    </cfRule>
  </conditionalFormatting>
  <conditionalFormatting sqref="Y181">
    <cfRule type="cellIs" dxfId="193" priority="458" operator="greaterThan">
      <formula>$O$191</formula>
    </cfRule>
  </conditionalFormatting>
  <conditionalFormatting sqref="K181">
    <cfRule type="cellIs" dxfId="192" priority="129" operator="greaterThan">
      <formula>$K$162</formula>
    </cfRule>
    <cfRule type="cellIs" dxfId="191" priority="130" operator="equal">
      <formula>$K$162</formula>
    </cfRule>
    <cfRule type="cellIs" dxfId="190" priority="131" operator="lessThan">
      <formula>$K$162</formula>
    </cfRule>
  </conditionalFormatting>
  <conditionalFormatting sqref="H186:L199">
    <cfRule type="expression" dxfId="189" priority="128">
      <formula>$I$184="Nee"</formula>
    </cfRule>
  </conditionalFormatting>
  <conditionalFormatting sqref="H202:L212 H201 J201:L201">
    <cfRule type="expression" dxfId="188" priority="127">
      <formula>$I$201="Nee"</formula>
    </cfRule>
  </conditionalFormatting>
  <conditionalFormatting sqref="H215:L225 H214 J214:L214">
    <cfRule type="expression" dxfId="187" priority="125">
      <formula>$I$214="Nee"</formula>
    </cfRule>
  </conditionalFormatting>
  <conditionalFormatting sqref="T186:X199">
    <cfRule type="expression" dxfId="186" priority="121">
      <formula>$U$184="Nee"</formula>
    </cfRule>
  </conditionalFormatting>
  <conditionalFormatting sqref="T202:X212 T201 V201:X201">
    <cfRule type="expression" dxfId="185" priority="120">
      <formula>$U$201="Nee"</formula>
    </cfRule>
  </conditionalFormatting>
  <conditionalFormatting sqref="T215:X225 T214 V214:X214">
    <cfRule type="expression" dxfId="184" priority="118">
      <formula>$U$214="Nee"</formula>
    </cfRule>
  </conditionalFormatting>
  <conditionalFormatting sqref="Z186:AD199">
    <cfRule type="expression" dxfId="183" priority="114">
      <formula>$AA$184="Nee"</formula>
    </cfRule>
  </conditionalFormatting>
  <conditionalFormatting sqref="Z202:AD212 Z201 AB201:AD201">
    <cfRule type="expression" dxfId="182" priority="113">
      <formula>$AA$201="Nee"</formula>
    </cfRule>
  </conditionalFormatting>
  <conditionalFormatting sqref="Z215:AD225 Z214 AB214:AD214">
    <cfRule type="expression" dxfId="181" priority="111">
      <formula>$AA$214="Nee"</formula>
    </cfRule>
  </conditionalFormatting>
  <conditionalFormatting sqref="AF186:AJ199">
    <cfRule type="expression" dxfId="180" priority="107">
      <formula>$AG$184="Nee"</formula>
    </cfRule>
  </conditionalFormatting>
  <conditionalFormatting sqref="AF202:AJ212 AF201 AH201:AJ201">
    <cfRule type="expression" dxfId="179" priority="106">
      <formula>$AG$201="Nee"</formula>
    </cfRule>
  </conditionalFormatting>
  <conditionalFormatting sqref="AF215:AJ225 AF214 AH214:AJ214">
    <cfRule type="expression" dxfId="178" priority="104">
      <formula>$AG$214="Nee"</formula>
    </cfRule>
  </conditionalFormatting>
  <conditionalFormatting sqref="N109:N153 P109:R153 O111:O153">
    <cfRule type="expression" dxfId="177" priority="101">
      <formula>$O$109="Nee"</formula>
    </cfRule>
  </conditionalFormatting>
  <conditionalFormatting sqref="J223">
    <cfRule type="expression" dxfId="176" priority="77">
      <formula>$I$214="Nee"</formula>
    </cfRule>
  </conditionalFormatting>
  <conditionalFormatting sqref="K223">
    <cfRule type="expression" dxfId="175" priority="64">
      <formula>$I$201="Nee"</formula>
    </cfRule>
  </conditionalFormatting>
  <conditionalFormatting sqref="D163">
    <cfRule type="cellIs" dxfId="174" priority="8" operator="equal">
      <formula>$C$163</formula>
    </cfRule>
    <cfRule type="cellIs" dxfId="173" priority="9" operator="lessThan">
      <formula>$C$163</formula>
    </cfRule>
    <cfRule type="cellIs" dxfId="172" priority="39" operator="greaterThan">
      <formula>$C$163</formula>
    </cfRule>
  </conditionalFormatting>
  <conditionalFormatting sqref="D161">
    <cfRule type="cellIs" dxfId="171" priority="12" operator="lessThan">
      <formula>$C$161</formula>
    </cfRule>
    <cfRule type="cellIs" dxfId="170" priority="459" operator="greaterThan">
      <formula>$C$161</formula>
    </cfRule>
    <cfRule type="cellIs" dxfId="169" priority="460" operator="equal">
      <formula>$C$161</formula>
    </cfRule>
  </conditionalFormatting>
  <conditionalFormatting sqref="Q181">
    <cfRule type="cellIs" dxfId="168" priority="27" operator="greaterThan">
      <formula>$Q$162</formula>
    </cfRule>
    <cfRule type="cellIs" dxfId="167" priority="28" operator="equal">
      <formula>$Q$162</formula>
    </cfRule>
    <cfRule type="cellIs" dxfId="166" priority="29" operator="lessThan">
      <formula>$Q$162</formula>
    </cfRule>
  </conditionalFormatting>
  <conditionalFormatting sqref="W181">
    <cfRule type="cellIs" dxfId="165" priority="24" operator="greaterThan">
      <formula>$W$162</formula>
    </cfRule>
    <cfRule type="cellIs" dxfId="164" priority="25" operator="equal">
      <formula>$W$162</formula>
    </cfRule>
    <cfRule type="cellIs" dxfId="163" priority="26" operator="lessThan">
      <formula>$W$162</formula>
    </cfRule>
  </conditionalFormatting>
  <conditionalFormatting sqref="AC181">
    <cfRule type="cellIs" dxfId="162" priority="21" operator="greaterThan">
      <formula>$AC$162</formula>
    </cfRule>
    <cfRule type="cellIs" dxfId="161" priority="22" operator="equal">
      <formula>$AC$162</formula>
    </cfRule>
    <cfRule type="cellIs" dxfId="160" priority="23" operator="lessThan">
      <formula>$AC$162</formula>
    </cfRule>
  </conditionalFormatting>
  <conditionalFormatting sqref="AI181">
    <cfRule type="cellIs" dxfId="159" priority="18" operator="greaterThan">
      <formula>$AI$162</formula>
    </cfRule>
    <cfRule type="cellIs" dxfId="158" priority="19" operator="equal">
      <formula>$AI$162</formula>
    </cfRule>
    <cfRule type="cellIs" dxfId="157" priority="20" operator="lessThan">
      <formula>$AI$162</formula>
    </cfRule>
  </conditionalFormatting>
  <conditionalFormatting sqref="H154:L154">
    <cfRule type="expression" dxfId="156" priority="6">
      <formula>$O$109="Nee"</formula>
    </cfRule>
  </conditionalFormatting>
  <conditionalFormatting sqref="N154:R154">
    <cfRule type="expression" dxfId="155" priority="5">
      <formula>$O$109="Nee"</formula>
    </cfRule>
  </conditionalFormatting>
  <conditionalFormatting sqref="H34:L52">
    <cfRule type="expression" dxfId="154" priority="2">
      <formula>$C$44="Vaste waarden"</formula>
    </cfRule>
  </conditionalFormatting>
  <conditionalFormatting sqref="B47:F50">
    <cfRule type="expression" dxfId="153" priority="1">
      <formula>$C$44="Berekend"</formula>
    </cfRule>
  </conditionalFormatting>
  <dataValidations count="1">
    <dataValidation type="list" allowBlank="1" showInputMessage="1" showErrorMessage="1" sqref="C44" xr:uid="{374CB25C-C9F5-41A6-BBDC-BB9B7F0F38E4}">
      <formula1>"Berekend, Vaste waarden"</formula1>
    </dataValidation>
  </dataValidations>
  <pageMargins left="0.7" right="0.7" top="0.75" bottom="0.75" header="0.3" footer="0.3"/>
  <pageSetup paperSize="9" orientation="portrait" horizontalDpi="0" verticalDpi="0"/>
  <ignoredErrors>
    <ignoredError sqref="C116 E115 Q98" formula="1"/>
  </ignoredErrors>
  <extLst>
    <ext xmlns:x14="http://schemas.microsoft.com/office/spreadsheetml/2009/9/main" uri="{78C0D931-6437-407d-A8EE-F0AAD7539E65}">
      <x14:conditionalFormattings>
        <x14:conditionalFormatting xmlns:xm="http://schemas.microsoft.com/office/excel/2006/main">
          <x14:cfRule type="expression" priority="100" id="{ED448B0B-8741-7D47-BDB2-A2B3E5166299}">
            <xm:f>$H$59='DATA - Variabelen &amp; waarden'!$B$55</xm:f>
            <x14:dxf>
              <font>
                <u val="none"/>
                <color theme="0" tint="-0.34998626667073579"/>
              </font>
              <fill>
                <patternFill>
                  <bgColor theme="0" tint="-4.9989318521683403E-2"/>
                </patternFill>
              </fill>
            </x14:dxf>
          </x14:cfRule>
          <xm:sqref>H61:L61 I62:L63</xm:sqref>
        </x14:conditionalFormatting>
        <x14:conditionalFormatting xmlns:xm="http://schemas.microsoft.com/office/excel/2006/main">
          <x14:cfRule type="expression" priority="99" id="{EB83CEC0-EFF2-C048-9CF9-BC21F014D203}">
            <xm:f>$H$59='DATA - Variabelen &amp; waarden'!$B$54</xm:f>
            <x14:dxf>
              <font>
                <color theme="0" tint="-0.34998626667073579"/>
              </font>
              <fill>
                <patternFill>
                  <bgColor theme="0" tint="-4.9989318521683403E-2"/>
                </patternFill>
              </fill>
            </x14:dxf>
          </x14:cfRule>
          <xm:sqref>H64:L71</xm:sqref>
        </x14:conditionalFormatting>
        <x14:conditionalFormatting xmlns:xm="http://schemas.microsoft.com/office/excel/2006/main">
          <x14:cfRule type="expression" priority="7" id="{C386F518-FA40-D04D-AD8D-12B0A2AF476A}">
            <xm:f>$H$59='DATA - Variabelen &amp; waarden'!$B$55</xm:f>
            <x14:dxf>
              <font>
                <u val="none"/>
                <color theme="0" tint="-0.34998626667073579"/>
              </font>
              <fill>
                <patternFill>
                  <bgColor theme="0" tint="-4.9989318521683403E-2"/>
                </patternFill>
              </fill>
            </x14:dxf>
          </x14:cfRule>
          <xm:sqref>H62</xm:sqref>
        </x14:conditionalFormatting>
      </x14:conditionalFormattings>
    </ext>
    <ext xmlns:x14="http://schemas.microsoft.com/office/spreadsheetml/2009/9/main" uri="{CCE6A557-97BC-4b89-ADB6-D9C93CAAB3DF}">
      <x14:dataValidations xmlns:xm="http://schemas.microsoft.com/office/excel/2006/main" count="53">
        <x14:dataValidation type="list" allowBlank="1" showInputMessage="1" showErrorMessage="1" xr:uid="{1F23BA7C-AE58-014E-9B72-DAE10AEE78CE}">
          <x14:formula1>
            <xm:f>'DATA - Variabelen &amp; waarden'!$B$281:$B$295</xm:f>
          </x14:formula1>
          <xm:sqref>N161 H161 T161 Z161 AF161</xm:sqref>
        </x14:dataValidation>
        <x14:dataValidation type="list" allowBlank="1" showInputMessage="1" showErrorMessage="1" xr:uid="{ACAC3DB9-D135-8146-AD0A-84EBC424F790}">
          <x14:formula1>
            <xm:f>'DATA - Variabelen &amp; waarden'!$B$321:$B$323</xm:f>
          </x14:formula1>
          <xm:sqref>N218 N231 H192 H205 H218 H231 N122 N126 N192 N205 T218 T231 T192 T205 Z218 Z231 Z192 Z205 AF218 AF231 AF192 AF205</xm:sqref>
        </x14:dataValidation>
        <x14:dataValidation type="list" allowBlank="1" showInputMessage="1" showErrorMessage="1" xr:uid="{77823E02-A69F-9741-87F8-062A1ABEA566}">
          <x14:formula1>
            <xm:f>'DATA - Variabelen &amp; waarden'!$D$320:$G$320</xm:f>
          </x14:formula1>
          <xm:sqref>O192 O205 O122 O126 O218 O231 I192 I205 I218 I231 U192 U205 U218 U231 AA192 AA205 AA218 AA231 AG192 AG205 AG218 AG231</xm:sqref>
        </x14:dataValidation>
        <x14:dataValidation type="list" allowBlank="1" showInputMessage="1" showErrorMessage="1" xr:uid="{B15D9681-EA44-CB45-80A4-2C1D85BC40BE}">
          <x14:formula1>
            <xm:f>'DATA - Variabelen &amp; waarden'!$B$330:$B$336</xm:f>
          </x14:formula1>
          <xm:sqref>H195 N130 N195 T195 Z195 AF195</xm:sqref>
        </x14:dataValidation>
        <x14:dataValidation type="list" allowBlank="1" showInputMessage="1" showErrorMessage="1" xr:uid="{C1507FDE-E9C4-5642-92F4-57D3BA7E1890}">
          <x14:formula1>
            <xm:f>'DATA - Variabelen &amp; waarden'!$D$329:$G$329</xm:f>
          </x14:formula1>
          <xm:sqref>O130 O195 I195 U195 AA195 AG195</xm:sqref>
        </x14:dataValidation>
        <x14:dataValidation type="list" allowBlank="1" showInputMessage="1" showErrorMessage="1" xr:uid="{FEC595EC-CDCD-1148-AEF1-4EE3F2F6E64C}">
          <x14:formula1>
            <xm:f>'DATA - Variabelen &amp; waarden'!$D$338:$G$338</xm:f>
          </x14:formula1>
          <xm:sqref>O131 O196 I196 U196 AA196 AG196</xm:sqref>
        </x14:dataValidation>
        <x14:dataValidation type="list" allowBlank="1" showInputMessage="1" showErrorMessage="1" xr:uid="{2B6DBCAA-EA66-C343-BDFD-211F34A3767A}">
          <x14:formula1>
            <xm:f>'DATA - Variabelen &amp; waarden'!$D$347:$G$347</xm:f>
          </x14:formula1>
          <xm:sqref>O208 O221 I208 I221 U208 U221 AA208 AA221 AG208 AG221</xm:sqref>
        </x14:dataValidation>
        <x14:dataValidation type="list" allowBlank="1" showInputMessage="1" showErrorMessage="1" xr:uid="{72AD19B6-A8BE-0246-A3F5-FA40E52A086A}">
          <x14:formula1>
            <xm:f>'DATA - Variabelen &amp; waarden'!$D$364:$G$364</xm:f>
          </x14:formula1>
          <xm:sqref>O209 O222 I209 I222 U209 U222 AA209 AA222 AG209 AG222</xm:sqref>
        </x14:dataValidation>
        <x14:dataValidation type="list" allowBlank="1" showInputMessage="1" showErrorMessage="1" xr:uid="{CD17C7A0-DB87-3D41-8AD1-61FF66524435}">
          <x14:formula1>
            <xm:f>'DATA - Variabelen &amp; waarden'!$D$408:$G$408</xm:f>
          </x14:formula1>
          <xm:sqref>O239:O243</xm:sqref>
        </x14:dataValidation>
        <x14:dataValidation type="list" allowBlank="1" showInputMessage="1" showErrorMessage="1" xr:uid="{D043123B-94BA-D346-9DEE-17F5A574AAFC}">
          <x14:formula1>
            <xm:f>'DATA - Variabelen &amp; waarden'!$B$409:$B$418</xm:f>
          </x14:formula1>
          <xm:sqref>N239:N243</xm:sqref>
        </x14:dataValidation>
        <x14:dataValidation type="list" allowBlank="1" showInputMessage="1" showErrorMessage="1" xr:uid="{C0E6B193-2FF8-1047-BD36-370E9C1AC595}">
          <x14:formula1>
            <xm:f>'DATA - Variabelen &amp; waarden'!$D$388:$G$388</xm:f>
          </x14:formula1>
          <xm:sqref>C239:C243</xm:sqref>
        </x14:dataValidation>
        <x14:dataValidation type="list" allowBlank="1" showInputMessage="1" showErrorMessage="1" xr:uid="{E9F36C9A-36DC-9D40-9A7E-3E311FF956B6}">
          <x14:formula1>
            <xm:f>'DATA - Variabelen &amp; waarden'!$D$280:$G$280</xm:f>
          </x14:formula1>
          <xm:sqref>O167 I167 U167 AA167 AG167</xm:sqref>
        </x14:dataValidation>
        <x14:dataValidation type="list" allowBlank="1" showInputMessage="1" showErrorMessage="1" xr:uid="{90B44745-850F-5345-B0E5-F167A37826DB}">
          <x14:formula1>
            <xm:f>'DATA - Variabelen &amp; waarden'!$D$266:$G$266</xm:f>
          </x14:formula1>
          <xm:sqref>I149</xm:sqref>
        </x14:dataValidation>
        <x14:dataValidation type="list" allowBlank="1" showInputMessage="1" showErrorMessage="1" xr:uid="{202671A4-813F-614E-A0B1-6417BA605085}">
          <x14:formula1>
            <xm:f>'DATA - Variabelen &amp; waarden'!$D$254:$G$254</xm:f>
          </x14:formula1>
          <xm:sqref>I147</xm:sqref>
        </x14:dataValidation>
        <x14:dataValidation type="list" allowBlank="1" showInputMessage="1" showErrorMessage="1" xr:uid="{06D9B224-65B9-9241-9EB9-80F046F8BB1A}">
          <x14:formula1>
            <xm:f>'DATA - Variabelen &amp; waarden'!$D$222:$G$222</xm:f>
          </x14:formula1>
          <xm:sqref>I142</xm:sqref>
        </x14:dataValidation>
        <x14:dataValidation type="list" allowBlank="1" showInputMessage="1" showErrorMessage="1" xr:uid="{F460A0D8-993C-1849-BA31-5DFC575F244A}">
          <x14:formula1>
            <xm:f>'DATA - Variabelen &amp; waarden'!$D$206:$G$206</xm:f>
          </x14:formula1>
          <xm:sqref>I139</xm:sqref>
        </x14:dataValidation>
        <x14:dataValidation type="list" allowBlank="1" showInputMessage="1" showErrorMessage="1" xr:uid="{BF4B4721-B1A0-C245-B213-9EA61BBF3ED4}">
          <x14:formula1>
            <xm:f>'DATA - Variabelen &amp; waarden'!$B$207:$B$212</xm:f>
          </x14:formula1>
          <xm:sqref>H139</xm:sqref>
        </x14:dataValidation>
        <x14:dataValidation type="list" allowBlank="1" showInputMessage="1" showErrorMessage="1" xr:uid="{64004705-131E-5749-8FB6-6ED8C055F51C}">
          <x14:formula1>
            <xm:f>'DATA - Variabelen &amp; waarden'!$D$200:$G$200</xm:f>
          </x14:formula1>
          <xm:sqref>I125</xm:sqref>
        </x14:dataValidation>
        <x14:dataValidation type="list" allowBlank="1" showInputMessage="1" showErrorMessage="1" xr:uid="{B4521EC6-296A-A242-BA98-3B4C835A26FD}">
          <x14:formula1>
            <xm:f>'DATA - Variabelen &amp; waarden'!$D$178:$G$178</xm:f>
          </x14:formula1>
          <xm:sqref>I122</xm:sqref>
        </x14:dataValidation>
        <x14:dataValidation type="list" allowBlank="1" showInputMessage="1" showErrorMessage="1" xr:uid="{4F579A22-2948-B844-98A8-0B3287C4973C}">
          <x14:formula1>
            <xm:f>'DATA - Variabelen &amp; waarden'!$D$161:$G$161</xm:f>
          </x14:formula1>
          <xm:sqref>I112 I114:I115</xm:sqref>
        </x14:dataValidation>
        <x14:dataValidation type="list" allowBlank="1" showInputMessage="1" showErrorMessage="1" xr:uid="{87CC6C39-6080-834C-AD9E-B45D170AA18C}">
          <x14:formula1>
            <xm:f>'DATA - Variabelen &amp; waarden'!$B$179:$B$187</xm:f>
          </x14:formula1>
          <xm:sqref>H122</xm:sqref>
        </x14:dataValidation>
        <x14:dataValidation type="list" allowBlank="1" showInputMessage="1" showErrorMessage="1" xr:uid="{7F2D4CDB-CCEE-C64C-8549-FC21E45AD38E}">
          <x14:formula1>
            <xm:f>'DATA - Variabelen &amp; waarden'!$D$147:$G$147</xm:f>
          </x14:formula1>
          <xm:sqref>O95:O96 O98</xm:sqref>
        </x14:dataValidation>
        <x14:dataValidation type="list" allowBlank="1" showInputMessage="1" showErrorMessage="1" xr:uid="{97D31BD1-C994-104F-8A2C-18BA2E7BFD75}">
          <x14:formula1>
            <xm:f>'DATA - Variabelen &amp; waarden'!$D$138:$G$138</xm:f>
          </x14:formula1>
          <xm:sqref>O86:O92</xm:sqref>
        </x14:dataValidation>
        <x14:dataValidation type="list" allowBlank="1" showInputMessage="1" showErrorMessage="1" xr:uid="{DDF3B050-2CA7-A143-977B-47DA0740310E}">
          <x14:formula1>
            <xm:f>'DATA - Variabelen &amp; waarden'!$D$134:$G$134</xm:f>
          </x14:formula1>
          <xm:sqref>O82:O83</xm:sqref>
        </x14:dataValidation>
        <x14:dataValidation type="list" allowBlank="1" showInputMessage="1" showErrorMessage="1" xr:uid="{348AB465-B697-214E-8238-B77AE9C6DE8F}">
          <x14:formula1>
            <xm:f>'DATA - Variabelen &amp; waarden'!$D$129:$G$129</xm:f>
          </x14:formula1>
          <xm:sqref>O77:O79</xm:sqref>
        </x14:dataValidation>
        <x14:dataValidation type="list" allowBlank="1" showInputMessage="1" showErrorMessage="1" xr:uid="{6C11E1F8-919C-094F-B620-D4D882878DA0}">
          <x14:formula1>
            <xm:f>'DATA - Variabelen &amp; waarden'!$D$111:$G$111</xm:f>
          </x14:formula1>
          <xm:sqref>O67:O70 O72:O73 O59:O62 O64:O65</xm:sqref>
        </x14:dataValidation>
        <x14:dataValidation type="list" allowBlank="1" showInputMessage="1" showErrorMessage="1" xr:uid="{5665EC03-EFBF-124F-B5ED-6CFA546EDEC7}">
          <x14:formula1>
            <xm:f>'DATA - Variabelen &amp; waarden'!$D$96:$G$96</xm:f>
          </x14:formula1>
          <xm:sqref>I93:I95 I101:I102 I97:I99</xm:sqref>
        </x14:dataValidation>
        <x14:dataValidation type="list" allowBlank="1" showInputMessage="1" showErrorMessage="1" xr:uid="{A9B563D5-9526-D44D-998B-A3ECC5EA260A}">
          <x14:formula1>
            <xm:f>'DATA - Variabelen &amp; waarden'!$D$77:$G$77</xm:f>
          </x14:formula1>
          <xm:sqref>I74:I75 I77:I78 I86:I90 I80:I81 I83:I84</xm:sqref>
        </x14:dataValidation>
        <x14:dataValidation type="list" allowBlank="1" showInputMessage="1" showErrorMessage="1" xr:uid="{A1304675-23C0-2244-8ACB-586F19BAC67F}">
          <x14:formula1>
            <xm:f>'DATA - Variabelen &amp; waarden'!$D$53:$G$53</xm:f>
          </x14:formula1>
          <xm:sqref>I65:I68</xm:sqref>
        </x14:dataValidation>
        <x14:dataValidation type="list" allowBlank="1" showInputMessage="1" showErrorMessage="1" xr:uid="{F26ECFEA-7A62-304A-9AE7-4A84426670E4}">
          <x14:formula1>
            <xm:f>'DATA - Variabelen &amp; waarden'!$B$54:$B$55</xm:f>
          </x14:formula1>
          <xm:sqref>H59</xm:sqref>
        </x14:dataValidation>
        <x14:dataValidation type="list" allowBlank="1" showInputMessage="1" showErrorMessage="1" xr:uid="{9C99A657-1916-8B40-B147-23A32294939C}">
          <x14:formula1>
            <xm:f>'DATA - Variabelen &amp; waarden'!$B$158:$B$159</xm:f>
          </x14:formula1>
          <xm:sqref>H109</xm:sqref>
        </x14:dataValidation>
        <x14:dataValidation type="list" allowBlank="1" showInputMessage="1" showErrorMessage="1" xr:uid="{1D033956-3CB9-C94E-951A-CB6BD782BB61}">
          <x14:formula1>
            <xm:f>'DATA - Variabelen &amp; waarden'!$D$231:$G$231</xm:f>
          </x14:formula1>
          <xm:sqref>I130</xm:sqref>
        </x14:dataValidation>
        <x14:dataValidation type="list" allowBlank="1" showInputMessage="1" showErrorMessage="1" xr:uid="{3D513C90-D6F6-2C4F-8164-309A06BDDCD2}">
          <x14:formula1>
            <xm:f>'DATA - Variabelen &amp; waarden'!$D$239:$G$239</xm:f>
          </x14:formula1>
          <xm:sqref>I132</xm:sqref>
        </x14:dataValidation>
        <x14:dataValidation type="list" allowBlank="1" showInputMessage="1" showErrorMessage="1" xr:uid="{449298F5-1BDE-9B45-BC67-E293011B9BDD}">
          <x14:formula1>
            <xm:f>'DATA - Variabelen &amp; waarden'!$B$240:$B$246</xm:f>
          </x14:formula1>
          <xm:sqref>H132</xm:sqref>
        </x14:dataValidation>
        <x14:dataValidation type="list" allowBlank="1" showInputMessage="1" showErrorMessage="1" xr:uid="{4980FCE4-03F3-EF47-ABED-ED534D769145}">
          <x14:formula1>
            <xm:f>'DATA - Variabelen &amp; waarden'!$B$249:$B$252</xm:f>
          </x14:formula1>
          <xm:sqref>H134</xm:sqref>
        </x14:dataValidation>
        <x14:dataValidation type="list" allowBlank="1" showInputMessage="1" showErrorMessage="1" xr:uid="{E7E3A827-31C7-FF4D-A96B-D34B6CBC43B4}">
          <x14:formula1>
            <xm:f>'DATA - Variabelen &amp; waarden'!$D$248:$G$248</xm:f>
          </x14:formula1>
          <xm:sqref>I134</xm:sqref>
        </x14:dataValidation>
        <x14:dataValidation type="list" allowBlank="1" showInputMessage="1" showErrorMessage="1" xr:uid="{BD7301D2-F61A-A449-A5C2-88D31CEB108D}">
          <x14:formula1>
            <xm:f>'DATA - Variabelen &amp; waarden'!$B$262:$B$264</xm:f>
          </x14:formula1>
          <xm:sqref>H151</xm:sqref>
        </x14:dataValidation>
        <x14:dataValidation type="list" allowBlank="1" showInputMessage="1" showErrorMessage="1" xr:uid="{0933EFFA-59D3-5A44-AE07-2C1530643DA4}">
          <x14:formula1>
            <xm:f>'DATA - Variabelen &amp; waarden'!$D$261:$G$261</xm:f>
          </x14:formula1>
          <xm:sqref>I151</xm:sqref>
        </x14:dataValidation>
        <x14:dataValidation type="list" allowBlank="1" showInputMessage="1" showErrorMessage="1" xr:uid="{87EA90F2-AF69-A742-899E-62F620679D25}">
          <x14:formula1>
            <xm:f>'DATA - Variabelen &amp; waarden'!$D$273:$G$273</xm:f>
          </x14:formula1>
          <xm:sqref>O113 AG181 AA181 U181 I181 O181 O115</xm:sqref>
        </x14:dataValidation>
        <x14:dataValidation type="list" allowBlank="1" showInputMessage="1" showErrorMessage="1" xr:uid="{A6BAFBDF-3922-344D-9752-49C1779EBCB3}">
          <x14:formula1>
            <xm:f>'DATA - Variabelen &amp; waarden'!$B$326:$B$327</xm:f>
          </x14:formula1>
          <xm:sqref>O184 O201 O214 I184 I201 I214 U184 U201 U214 AA184 AA201 AA214 AG184 AG201 AG214 O109</xm:sqref>
        </x14:dataValidation>
        <x14:dataValidation type="list" allowBlank="1" showInputMessage="1" showErrorMessage="1" xr:uid="{1A169267-47E2-4849-A854-283FFB1722C2}">
          <x14:formula1>
            <xm:f>'DATA - Variabelen &amp; waarden'!$B$232:$B$237</xm:f>
          </x14:formula1>
          <xm:sqref>H130</xm:sqref>
        </x14:dataValidation>
        <x14:dataValidation type="list" allowBlank="1" showInputMessage="1" showErrorMessage="1" xr:uid="{E1570D77-6708-9940-9AAA-9F064511048D}">
          <x14:formula1>
            <xm:f>'DATA - Variabelen &amp; waarden'!$D$381:$G$381</xm:f>
          </x14:formula1>
          <xm:sqref>O118 AG183 AA183 U183 O183 I183</xm:sqref>
        </x14:dataValidation>
        <x14:dataValidation type="list" allowBlank="1" showInputMessage="1" showErrorMessage="1" xr:uid="{08285D55-A2C4-5B44-9F14-C121F9C3D136}">
          <x14:formula1>
            <xm:f>'DATA - Variabelen &amp; waarden'!$B$39:$B$42</xm:f>
          </x14:formula1>
          <xm:sqref>H38 H45</xm:sqref>
        </x14:dataValidation>
        <x14:dataValidation type="list" allowBlank="1" showInputMessage="1" showErrorMessage="1" xr:uid="{56B7540F-1E84-2F4E-8A00-91C548702C1C}">
          <x14:formula1>
            <xm:f>'DATA - Variabelen &amp; waarden'!$D$396:$G$396</xm:f>
          </x14:formula1>
          <xm:sqref>C248</xm:sqref>
        </x14:dataValidation>
        <x14:dataValidation type="list" allowBlank="1" showInputMessage="1" showErrorMessage="1" xr:uid="{3E74FE68-8ABD-9144-BC6A-8BBD6E4C19CE}">
          <x14:formula1>
            <xm:f>'DATA - Variabelen &amp; waarden'!$B$389:$B$394</xm:f>
          </x14:formula1>
          <xm:sqref>B239:B243</xm:sqref>
        </x14:dataValidation>
        <x14:dataValidation type="list" allowBlank="1" showInputMessage="1" showErrorMessage="1" xr:uid="{A253F73E-73BC-4BEF-B110-8AF8A345E733}">
          <x14:formula1>
            <xm:f>'DATA - Variabelen &amp; waarden'!$B$23:$B$36</xm:f>
          </x14:formula1>
          <xm:sqref>B37:B38</xm:sqref>
        </x14:dataValidation>
        <x14:dataValidation type="list" allowBlank="1" showInputMessage="1" showErrorMessage="1" xr:uid="{88EA0B95-D68C-4B23-B4CD-6901DE84668D}">
          <x14:formula1>
            <xm:f>'DATA - Variabelen &amp; waarden'!$D$189:$G$189</xm:f>
          </x14:formula1>
          <xm:sqref>I123 I126</xm:sqref>
        </x14:dataValidation>
        <x14:dataValidation type="list" allowBlank="1" showInputMessage="1" showErrorMessage="1" xr:uid="{CCBAD318-600A-48DC-A008-5F293DEA2E44}">
          <x14:formula1>
            <xm:f>'DATA - Variabelen &amp; waarden'!$D$214:$G$214</xm:f>
          </x14:formula1>
          <xm:sqref>I140 I143</xm:sqref>
        </x14:dataValidation>
        <x14:dataValidation type="list" allowBlank="1" showInputMessage="1" showErrorMessage="1" xr:uid="{5ECD07E1-1789-2A47-8580-6526EFE8EF50}">
          <x14:formula1>
            <xm:f>'DATA - Variabelen &amp; waarden'!$D$399:$G$399</xm:f>
          </x14:formula1>
          <xm:sqref>I239:I242</xm:sqref>
        </x14:dataValidation>
        <x14:dataValidation type="list" allowBlank="1" showInputMessage="1" showErrorMessage="1" xr:uid="{6E399D27-CF69-9240-89F3-D5F019B245CB}">
          <x14:formula1>
            <xm:f>'DATA - Variabelen &amp; waarden'!$B$255:$B$259</xm:f>
          </x14:formula1>
          <xm:sqref>H147</xm:sqref>
        </x14:dataValidation>
        <x14:dataValidation type="list" allowBlank="1" showInputMessage="1" showErrorMessage="1" xr:uid="{67CEE01A-A35B-CE44-AC88-5E592453F3C5}">
          <x14:formula1>
            <xm:f>'DATA - Variabelen &amp; waarden'!$D$420:$G$420</xm:f>
          </x14:formula1>
          <xm:sqref>O248</xm:sqref>
        </x14:dataValidation>
        <x14:dataValidation type="list" allowBlank="1" showInputMessage="1" showErrorMessage="1" xr:uid="{A37A9843-149C-6A41-8455-984DDA7C1FCA}">
          <x14:formula1>
            <xm:f>'DATA - Variabelen &amp; waarden'!$B$267:$B$271</xm:f>
          </x14:formula1>
          <xm:sqref>H149</xm:sqref>
        </x14:dataValidation>
        <x14:dataValidation type="list" allowBlank="1" showInputMessage="1" showErrorMessage="1" xr:uid="{DEA38F78-EA06-6A47-9866-D10F3629EC93}">
          <x14:formula1>
            <xm:f>'DATA - Variabelen &amp; waarden'!$B$348:$B$362</xm:f>
          </x14:formula1>
          <xm:sqref>N208 AF221 AF208 Z221 Z208 T221 T208 H221 H208 N221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FBAB-D418-E644-A058-2B71BB137290}">
  <sheetPr>
    <tabColor theme="9"/>
  </sheetPr>
  <dimension ref="B1:AJ403"/>
  <sheetViews>
    <sheetView showGridLines="0" zoomScaleNormal="100" workbookViewId="0">
      <pane ySplit="2" topLeftCell="A58" activePane="bottomLeft" state="frozen"/>
      <selection pane="bottomLeft" activeCell="P131" sqref="P131"/>
    </sheetView>
  </sheetViews>
  <sheetFormatPr baseColWidth="10" defaultColWidth="11" defaultRowHeight="16" x14ac:dyDescent="0.2"/>
  <cols>
    <col min="1" max="1" width="3" customWidth="1"/>
    <col min="2" max="2" width="34.83203125" customWidth="1"/>
    <col min="3" max="3" width="13.33203125" customWidth="1"/>
    <col min="4" max="5" width="10.83203125" customWidth="1"/>
    <col min="6" max="6" width="11.5" bestFit="1" customWidth="1"/>
    <col min="7" max="7" width="3" customWidth="1"/>
    <col min="8" max="8" width="34.83203125" customWidth="1"/>
    <col min="9" max="9" width="13.33203125" customWidth="1"/>
    <col min="10" max="10" width="10.83203125" customWidth="1"/>
    <col min="11" max="11" width="10.83203125" style="3" customWidth="1"/>
    <col min="12" max="12" width="10.83203125" customWidth="1"/>
    <col min="13" max="13" width="3" customWidth="1"/>
    <col min="14" max="14" width="32.83203125" customWidth="1"/>
    <col min="15" max="15" width="13.33203125" customWidth="1"/>
    <col min="16" max="16" width="12.6640625" customWidth="1"/>
    <col min="17" max="17" width="13.33203125" customWidth="1"/>
    <col min="18" max="18" width="10.83203125" customWidth="1"/>
    <col min="19" max="19" width="3" customWidth="1"/>
    <col min="20" max="20" width="32.83203125" customWidth="1"/>
    <col min="21" max="21" width="13.33203125" customWidth="1"/>
    <col min="22" max="22" width="12.6640625" customWidth="1"/>
    <col min="23" max="23" width="13.33203125" customWidth="1"/>
    <col min="24" max="24" width="10.83203125" customWidth="1"/>
    <col min="25" max="25" width="3" customWidth="1"/>
    <col min="26" max="26" width="32.83203125" customWidth="1"/>
    <col min="27" max="27" width="13.33203125" customWidth="1"/>
    <col min="28" max="28" width="12.6640625" customWidth="1"/>
    <col min="29" max="29" width="13.33203125" customWidth="1"/>
    <col min="30" max="30" width="10.83203125" customWidth="1"/>
    <col min="31" max="31" width="3" customWidth="1"/>
    <col min="32" max="32" width="32.83203125" customWidth="1"/>
    <col min="33" max="33" width="13.33203125" customWidth="1"/>
    <col min="34" max="34" width="12.6640625" customWidth="1"/>
    <col min="35" max="35" width="13.33203125" customWidth="1"/>
    <col min="37" max="37" width="3" customWidth="1"/>
    <col min="38" max="38" width="32.83203125" customWidth="1"/>
    <col min="39" max="39" width="13.33203125" customWidth="1"/>
    <col min="40" max="40" width="12.6640625" customWidth="1"/>
    <col min="41" max="41" width="13.33203125" customWidth="1"/>
    <col min="42" max="42" width="10.83203125" customWidth="1"/>
    <col min="43" max="43" width="3" customWidth="1"/>
    <col min="44" max="44" width="13.33203125" customWidth="1"/>
    <col min="49" max="49" width="10.83203125" customWidth="1"/>
    <col min="50" max="50" width="3" customWidth="1"/>
    <col min="51" max="52" width="28.83203125" customWidth="1"/>
    <col min="53" max="53" width="13.33203125" customWidth="1"/>
  </cols>
  <sheetData>
    <row r="1" spans="2:36" x14ac:dyDescent="0.2">
      <c r="D1" s="99"/>
      <c r="K1"/>
    </row>
    <row r="2" spans="2:36" ht="19" x14ac:dyDescent="0.25">
      <c r="B2" s="95" t="s">
        <v>748</v>
      </c>
      <c r="C2" s="100"/>
      <c r="D2" s="101"/>
      <c r="E2" s="100"/>
      <c r="F2" s="100"/>
      <c r="G2" s="100"/>
      <c r="H2" s="102"/>
      <c r="I2" s="100"/>
      <c r="J2" s="100"/>
      <c r="K2" s="102"/>
      <c r="L2" s="100"/>
      <c r="M2" s="100"/>
      <c r="N2" s="102"/>
      <c r="O2" s="100"/>
      <c r="P2" s="100"/>
      <c r="Q2" s="100"/>
      <c r="R2" s="100"/>
      <c r="S2" s="100"/>
      <c r="T2" s="100"/>
      <c r="U2" s="100"/>
      <c r="V2" s="100"/>
      <c r="W2" s="100"/>
      <c r="X2" s="100"/>
      <c r="Y2" s="100"/>
      <c r="Z2" s="100"/>
      <c r="AA2" s="100"/>
      <c r="AB2" s="100"/>
      <c r="AC2" s="100"/>
      <c r="AD2" s="100"/>
      <c r="AE2" s="100"/>
      <c r="AF2" s="100"/>
      <c r="AG2" s="100"/>
      <c r="AH2" s="100"/>
      <c r="AI2" s="100"/>
      <c r="AJ2" s="100"/>
    </row>
    <row r="3" spans="2:36" x14ac:dyDescent="0.2">
      <c r="C3" s="28"/>
      <c r="D3" s="103"/>
      <c r="H3" s="4"/>
      <c r="K3" s="4"/>
      <c r="N3" s="4"/>
    </row>
    <row r="4" spans="2:36" ht="19" x14ac:dyDescent="0.25">
      <c r="B4" s="283" t="s">
        <v>19</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row>
    <row r="5" spans="2:36" x14ac:dyDescent="0.2">
      <c r="C5" s="28"/>
      <c r="D5" s="103"/>
      <c r="H5" s="4"/>
      <c r="K5" s="4"/>
      <c r="N5" s="4"/>
    </row>
    <row r="6" spans="2:36" s="106" customFormat="1" ht="17" x14ac:dyDescent="0.2">
      <c r="B6" s="105" t="s">
        <v>949</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spans="2:36" x14ac:dyDescent="0.2">
      <c r="C7" s="28"/>
      <c r="D7" s="103"/>
      <c r="H7" s="4"/>
      <c r="K7" s="4"/>
      <c r="N7" s="4"/>
    </row>
    <row r="8" spans="2:36" x14ac:dyDescent="0.2">
      <c r="B8" s="87" t="s">
        <v>959</v>
      </c>
      <c r="C8" s="173"/>
      <c r="D8" s="427"/>
      <c r="E8" s="173"/>
      <c r="F8" s="173"/>
      <c r="G8" s="173"/>
      <c r="H8" s="428"/>
      <c r="I8" s="173"/>
      <c r="J8" s="173"/>
      <c r="K8" s="428"/>
      <c r="L8" s="173"/>
      <c r="M8" s="173"/>
      <c r="N8" s="428"/>
      <c r="O8" s="173"/>
      <c r="P8" s="173"/>
      <c r="Q8" s="173"/>
      <c r="R8" s="85"/>
    </row>
    <row r="9" spans="2:36" x14ac:dyDescent="0.2">
      <c r="B9" s="189"/>
      <c r="C9" s="171"/>
      <c r="D9" s="429"/>
      <c r="E9" s="171"/>
      <c r="F9" s="171"/>
      <c r="G9" s="171"/>
      <c r="H9" s="66"/>
      <c r="I9" s="171"/>
      <c r="J9" s="171"/>
      <c r="K9" s="66"/>
      <c r="L9" s="171"/>
      <c r="M9" s="171"/>
      <c r="N9" s="66"/>
      <c r="O9" s="171"/>
      <c r="P9" s="171"/>
      <c r="Q9" s="171"/>
      <c r="R9" s="80"/>
    </row>
    <row r="10" spans="2:36" x14ac:dyDescent="0.2">
      <c r="B10" s="420" t="s">
        <v>788</v>
      </c>
      <c r="C10" s="171"/>
      <c r="D10" s="429"/>
      <c r="E10" s="171"/>
      <c r="F10" s="171"/>
      <c r="G10" s="171"/>
      <c r="H10" s="66"/>
      <c r="I10" s="171"/>
      <c r="J10" s="171"/>
      <c r="K10" s="66"/>
      <c r="L10" s="171"/>
      <c r="M10" s="171"/>
      <c r="N10" s="66"/>
      <c r="O10" s="171"/>
      <c r="P10" s="171"/>
      <c r="Q10" s="171"/>
      <c r="R10" s="80"/>
    </row>
    <row r="11" spans="2:36" x14ac:dyDescent="0.2">
      <c r="B11" s="79"/>
      <c r="C11" s="171"/>
      <c r="D11" s="429"/>
      <c r="E11" s="171"/>
      <c r="F11" s="171"/>
      <c r="G11" s="171"/>
      <c r="H11" s="66"/>
      <c r="I11" s="171"/>
      <c r="J11" s="171"/>
      <c r="K11" s="66"/>
      <c r="L11" s="171"/>
      <c r="M11" s="171"/>
      <c r="N11" s="66"/>
      <c r="O11" s="171"/>
      <c r="P11" s="171"/>
      <c r="Q11" s="171"/>
      <c r="R11" s="80"/>
    </row>
    <row r="12" spans="2:36" x14ac:dyDescent="0.2">
      <c r="B12" s="109" t="s">
        <v>771</v>
      </c>
      <c r="C12" s="57" t="s">
        <v>772</v>
      </c>
      <c r="D12" s="432" t="s">
        <v>770</v>
      </c>
      <c r="E12" s="171"/>
      <c r="F12" s="171"/>
      <c r="G12" s="171"/>
      <c r="H12" s="66"/>
      <c r="I12" s="171"/>
      <c r="J12" s="171"/>
      <c r="K12" s="66"/>
      <c r="L12" s="171"/>
      <c r="M12" s="171"/>
      <c r="N12" s="66"/>
      <c r="O12" s="171"/>
      <c r="P12" s="171"/>
      <c r="Q12" s="171"/>
      <c r="R12" s="80"/>
    </row>
    <row r="13" spans="2:36" ht="32" customHeight="1" x14ac:dyDescent="0.2">
      <c r="B13" s="434" t="s">
        <v>567</v>
      </c>
      <c r="C13" s="435" t="s">
        <v>673</v>
      </c>
      <c r="D13" s="501" t="s">
        <v>789</v>
      </c>
      <c r="E13" s="501"/>
      <c r="F13" s="501"/>
      <c r="G13" s="501"/>
      <c r="H13" s="501"/>
      <c r="I13" s="501"/>
      <c r="J13" s="501"/>
      <c r="K13" s="501"/>
      <c r="L13" s="501"/>
      <c r="M13" s="501"/>
      <c r="N13" s="501"/>
      <c r="O13" s="501"/>
      <c r="P13" s="501"/>
      <c r="Q13" s="501"/>
      <c r="R13" s="502"/>
    </row>
    <row r="14" spans="2:36" x14ac:dyDescent="0.2">
      <c r="B14" s="79" t="s">
        <v>773</v>
      </c>
      <c r="C14" s="104" t="s">
        <v>774</v>
      </c>
      <c r="D14" s="433" t="s">
        <v>775</v>
      </c>
      <c r="E14" s="171"/>
      <c r="F14" s="171"/>
      <c r="G14" s="171"/>
      <c r="H14" s="66"/>
      <c r="I14" s="171"/>
      <c r="J14" s="171"/>
      <c r="K14" s="66"/>
      <c r="L14" s="171"/>
      <c r="M14" s="171"/>
      <c r="N14" s="66"/>
      <c r="O14" s="171"/>
      <c r="P14" s="171"/>
      <c r="Q14" s="171"/>
      <c r="R14" s="80"/>
    </row>
    <row r="15" spans="2:36" x14ac:dyDescent="0.2">
      <c r="B15" s="79"/>
      <c r="C15" s="104"/>
      <c r="D15" s="433" t="s">
        <v>776</v>
      </c>
      <c r="E15" s="171"/>
      <c r="F15" s="171"/>
      <c r="G15" s="171"/>
      <c r="H15" s="66"/>
      <c r="I15" s="171"/>
      <c r="J15" s="171"/>
      <c r="K15" s="66"/>
      <c r="L15" s="171"/>
      <c r="M15" s="171"/>
      <c r="N15" s="66"/>
      <c r="O15" s="171"/>
      <c r="P15" s="171"/>
      <c r="Q15" s="171"/>
      <c r="R15" s="80"/>
    </row>
    <row r="16" spans="2:36" ht="32" customHeight="1" x14ac:dyDescent="0.2">
      <c r="B16" s="436" t="s">
        <v>790</v>
      </c>
      <c r="C16" s="435" t="s">
        <v>824</v>
      </c>
      <c r="D16" s="499" t="s">
        <v>795</v>
      </c>
      <c r="E16" s="499"/>
      <c r="F16" s="499"/>
      <c r="G16" s="499"/>
      <c r="H16" s="499"/>
      <c r="I16" s="499"/>
      <c r="J16" s="499"/>
      <c r="K16" s="499"/>
      <c r="L16" s="499"/>
      <c r="M16" s="499"/>
      <c r="N16" s="499"/>
      <c r="O16" s="499"/>
      <c r="P16" s="499"/>
      <c r="Q16" s="499"/>
      <c r="R16" s="500"/>
    </row>
    <row r="17" spans="2:18" x14ac:dyDescent="0.2">
      <c r="B17" s="79" t="s">
        <v>778</v>
      </c>
      <c r="C17" s="104" t="s">
        <v>777</v>
      </c>
      <c r="D17" s="433" t="s">
        <v>801</v>
      </c>
      <c r="E17" s="171"/>
      <c r="F17" s="171"/>
      <c r="G17" s="171"/>
      <c r="H17" s="66"/>
      <c r="I17" s="171"/>
      <c r="J17" s="171"/>
      <c r="K17" s="66"/>
      <c r="L17" s="171"/>
      <c r="M17" s="171"/>
      <c r="N17" s="66"/>
      <c r="O17" s="171"/>
      <c r="P17" s="171"/>
      <c r="Q17" s="171"/>
      <c r="R17" s="80"/>
    </row>
    <row r="18" spans="2:18" x14ac:dyDescent="0.2">
      <c r="B18" s="79" t="s">
        <v>784</v>
      </c>
      <c r="C18" s="104" t="s">
        <v>785</v>
      </c>
      <c r="D18" s="433" t="s">
        <v>786</v>
      </c>
      <c r="E18" s="171"/>
      <c r="F18" s="171"/>
      <c r="G18" s="171"/>
      <c r="H18" s="66"/>
      <c r="I18" s="171"/>
      <c r="J18" s="171"/>
      <c r="K18" s="66"/>
      <c r="L18" s="171"/>
      <c r="M18" s="171"/>
      <c r="N18" s="66"/>
      <c r="O18" s="171"/>
      <c r="P18" s="171"/>
      <c r="Q18" s="171"/>
      <c r="R18" s="80"/>
    </row>
    <row r="19" spans="2:18" x14ac:dyDescent="0.2">
      <c r="B19" s="79" t="s">
        <v>804</v>
      </c>
      <c r="C19" s="104" t="s">
        <v>805</v>
      </c>
      <c r="D19" s="433" t="s">
        <v>806</v>
      </c>
      <c r="E19" s="171"/>
      <c r="F19" s="171"/>
      <c r="G19" s="171"/>
      <c r="H19" s="66"/>
      <c r="I19" s="171"/>
      <c r="J19" s="171"/>
      <c r="K19" s="66"/>
      <c r="L19" s="171"/>
      <c r="M19" s="171"/>
      <c r="N19" s="66"/>
      <c r="O19" s="171"/>
      <c r="P19" s="171"/>
      <c r="Q19" s="171"/>
      <c r="R19" s="80"/>
    </row>
    <row r="20" spans="2:18" ht="32" customHeight="1" x14ac:dyDescent="0.2">
      <c r="B20" s="436" t="s">
        <v>779</v>
      </c>
      <c r="C20" s="435" t="s">
        <v>781</v>
      </c>
      <c r="D20" s="499" t="s">
        <v>782</v>
      </c>
      <c r="E20" s="499"/>
      <c r="F20" s="499"/>
      <c r="G20" s="499"/>
      <c r="H20" s="499"/>
      <c r="I20" s="499"/>
      <c r="J20" s="499"/>
      <c r="K20" s="499"/>
      <c r="L20" s="499"/>
      <c r="M20" s="499"/>
      <c r="N20" s="499"/>
      <c r="O20" s="499"/>
      <c r="P20" s="499"/>
      <c r="Q20" s="499"/>
      <c r="R20" s="500"/>
    </row>
    <row r="21" spans="2:18" x14ac:dyDescent="0.2">
      <c r="B21" s="79" t="s">
        <v>780</v>
      </c>
      <c r="C21" s="104" t="s">
        <v>63</v>
      </c>
      <c r="D21" s="433" t="s">
        <v>783</v>
      </c>
      <c r="E21" s="171"/>
      <c r="F21" s="171"/>
      <c r="G21" s="171"/>
      <c r="H21" s="66"/>
      <c r="I21" s="171"/>
      <c r="J21" s="171"/>
      <c r="K21" s="66"/>
      <c r="L21" s="171"/>
      <c r="M21" s="171"/>
      <c r="N21" s="66"/>
      <c r="O21" s="171"/>
      <c r="P21" s="171"/>
      <c r="Q21" s="171"/>
      <c r="R21" s="80"/>
    </row>
    <row r="22" spans="2:18" ht="32" customHeight="1" x14ac:dyDescent="0.2">
      <c r="B22" s="436" t="s">
        <v>826</v>
      </c>
      <c r="C22" s="435" t="s">
        <v>827</v>
      </c>
      <c r="D22" s="499" t="s">
        <v>828</v>
      </c>
      <c r="E22" s="499"/>
      <c r="F22" s="499"/>
      <c r="G22" s="499"/>
      <c r="H22" s="499"/>
      <c r="I22" s="499"/>
      <c r="J22" s="499"/>
      <c r="K22" s="499"/>
      <c r="L22" s="499"/>
      <c r="M22" s="499"/>
      <c r="N22" s="499"/>
      <c r="O22" s="499"/>
      <c r="P22" s="499"/>
      <c r="Q22" s="499"/>
      <c r="R22" s="500"/>
    </row>
    <row r="23" spans="2:18" x14ac:dyDescent="0.2">
      <c r="B23" s="79" t="s">
        <v>808</v>
      </c>
      <c r="C23" s="104" t="s">
        <v>809</v>
      </c>
      <c r="D23" s="433" t="s">
        <v>810</v>
      </c>
      <c r="E23" s="171"/>
      <c r="F23" s="171"/>
      <c r="G23" s="171"/>
      <c r="H23" s="171"/>
      <c r="I23" s="171"/>
      <c r="J23" s="171"/>
      <c r="K23" s="56"/>
      <c r="L23" s="171"/>
      <c r="M23" s="171"/>
      <c r="N23" s="171"/>
      <c r="O23" s="171"/>
      <c r="P23" s="171"/>
      <c r="Q23" s="171"/>
      <c r="R23" s="80"/>
    </row>
    <row r="24" spans="2:18" ht="32" customHeight="1" x14ac:dyDescent="0.2">
      <c r="B24" s="436" t="s">
        <v>814</v>
      </c>
      <c r="C24" s="435" t="s">
        <v>815</v>
      </c>
      <c r="D24" s="499" t="s">
        <v>816</v>
      </c>
      <c r="E24" s="499"/>
      <c r="F24" s="499"/>
      <c r="G24" s="499"/>
      <c r="H24" s="499"/>
      <c r="I24" s="499"/>
      <c r="J24" s="499"/>
      <c r="K24" s="499"/>
      <c r="L24" s="499"/>
      <c r="M24" s="499"/>
      <c r="N24" s="499"/>
      <c r="O24" s="499"/>
      <c r="P24" s="499"/>
      <c r="Q24" s="499"/>
      <c r="R24" s="500"/>
    </row>
    <row r="25" spans="2:18" x14ac:dyDescent="0.2">
      <c r="B25" s="79" t="s">
        <v>2</v>
      </c>
      <c r="C25" s="104" t="s">
        <v>167</v>
      </c>
      <c r="D25" s="433" t="s">
        <v>817</v>
      </c>
      <c r="E25" s="171"/>
      <c r="F25" s="171"/>
      <c r="G25" s="171"/>
      <c r="H25" s="66"/>
      <c r="I25" s="171"/>
      <c r="J25" s="171"/>
      <c r="K25" s="66"/>
      <c r="L25" s="171"/>
      <c r="M25" s="171"/>
      <c r="N25" s="66"/>
      <c r="O25" s="171"/>
      <c r="P25" s="171"/>
      <c r="Q25" s="171"/>
      <c r="R25" s="80"/>
    </row>
    <row r="26" spans="2:18" x14ac:dyDescent="0.2">
      <c r="B26" s="79" t="s">
        <v>829</v>
      </c>
      <c r="C26" s="437">
        <v>0.9</v>
      </c>
      <c r="D26" s="433" t="s">
        <v>830</v>
      </c>
      <c r="E26" s="171"/>
      <c r="F26" s="171"/>
      <c r="G26" s="171"/>
      <c r="H26" s="66"/>
      <c r="I26" s="171"/>
      <c r="J26" s="171"/>
      <c r="K26" s="66"/>
      <c r="L26" s="171"/>
      <c r="M26" s="171"/>
      <c r="N26" s="66"/>
      <c r="O26" s="171"/>
      <c r="P26" s="171"/>
      <c r="Q26" s="171"/>
      <c r="R26" s="80"/>
    </row>
    <row r="27" spans="2:18" ht="32" customHeight="1" x14ac:dyDescent="0.2">
      <c r="B27" s="436" t="s">
        <v>170</v>
      </c>
      <c r="C27" s="435" t="s">
        <v>818</v>
      </c>
      <c r="D27" s="499" t="s">
        <v>819</v>
      </c>
      <c r="E27" s="499"/>
      <c r="F27" s="499"/>
      <c r="G27" s="499"/>
      <c r="H27" s="499"/>
      <c r="I27" s="499"/>
      <c r="J27" s="499"/>
      <c r="K27" s="499"/>
      <c r="L27" s="499"/>
      <c r="M27" s="499"/>
      <c r="N27" s="499"/>
      <c r="O27" s="499"/>
      <c r="P27" s="499"/>
      <c r="Q27" s="499"/>
      <c r="R27" s="500"/>
    </row>
    <row r="28" spans="2:18" x14ac:dyDescent="0.2">
      <c r="B28" s="79" t="s">
        <v>811</v>
      </c>
      <c r="C28" s="104" t="s">
        <v>812</v>
      </c>
      <c r="D28" s="433" t="s">
        <v>813</v>
      </c>
      <c r="E28" s="171"/>
      <c r="F28" s="171"/>
      <c r="G28" s="171"/>
      <c r="H28" s="66"/>
      <c r="I28" s="171"/>
      <c r="J28" s="171"/>
      <c r="K28" s="66"/>
      <c r="L28" s="171"/>
      <c r="M28" s="171"/>
      <c r="N28" s="66"/>
      <c r="O28" s="171"/>
      <c r="P28" s="171"/>
      <c r="Q28" s="171"/>
      <c r="R28" s="80"/>
    </row>
    <row r="29" spans="2:18" ht="32" customHeight="1" x14ac:dyDescent="0.2">
      <c r="B29" s="436" t="s">
        <v>155</v>
      </c>
      <c r="C29" s="435" t="s">
        <v>787</v>
      </c>
      <c r="D29" s="499" t="s">
        <v>820</v>
      </c>
      <c r="E29" s="499"/>
      <c r="F29" s="499"/>
      <c r="G29" s="499"/>
      <c r="H29" s="499"/>
      <c r="I29" s="499"/>
      <c r="J29" s="499"/>
      <c r="K29" s="499"/>
      <c r="L29" s="499"/>
      <c r="M29" s="499"/>
      <c r="N29" s="499"/>
      <c r="O29" s="499"/>
      <c r="P29" s="499"/>
      <c r="Q29" s="499"/>
      <c r="R29" s="500"/>
    </row>
    <row r="30" spans="2:18" x14ac:dyDescent="0.2">
      <c r="B30" s="79" t="s">
        <v>822</v>
      </c>
      <c r="C30" s="104" t="s">
        <v>823</v>
      </c>
      <c r="D30" s="433" t="s">
        <v>825</v>
      </c>
      <c r="E30" s="171"/>
      <c r="F30" s="171"/>
      <c r="G30" s="171"/>
      <c r="H30" s="66"/>
      <c r="I30" s="171"/>
      <c r="J30" s="171"/>
      <c r="K30" s="66"/>
      <c r="L30" s="171"/>
      <c r="M30" s="171"/>
      <c r="N30" s="66"/>
      <c r="O30" s="171"/>
      <c r="P30" s="171"/>
      <c r="Q30" s="171"/>
      <c r="R30" s="80"/>
    </row>
    <row r="31" spans="2:18" x14ac:dyDescent="0.2">
      <c r="B31" s="81"/>
      <c r="C31" s="172"/>
      <c r="D31" s="430"/>
      <c r="E31" s="172"/>
      <c r="F31" s="172"/>
      <c r="G31" s="172"/>
      <c r="H31" s="431"/>
      <c r="I31" s="172"/>
      <c r="J31" s="172"/>
      <c r="K31" s="431"/>
      <c r="L31" s="172"/>
      <c r="M31" s="172"/>
      <c r="N31" s="431"/>
      <c r="O31" s="172"/>
      <c r="P31" s="172"/>
      <c r="Q31" s="172"/>
      <c r="R31" s="82"/>
    </row>
    <row r="32" spans="2:18" x14ac:dyDescent="0.2">
      <c r="C32" s="28"/>
      <c r="D32" s="103"/>
      <c r="H32" s="4"/>
      <c r="K32" s="4"/>
      <c r="N32" s="4"/>
    </row>
    <row r="33" spans="2:36" s="106" customFormat="1" ht="17" x14ac:dyDescent="0.2">
      <c r="B33" s="105" t="s">
        <v>0</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row>
    <row r="35" spans="2:36" x14ac:dyDescent="0.2">
      <c r="B35" s="87" t="s">
        <v>20</v>
      </c>
      <c r="C35" s="173"/>
      <c r="D35" s="173"/>
      <c r="E35" s="173"/>
      <c r="F35" s="85"/>
      <c r="H35" s="87" t="s">
        <v>581</v>
      </c>
      <c r="I35" s="173"/>
      <c r="J35" s="173"/>
      <c r="K35" s="124"/>
      <c r="L35" s="85"/>
      <c r="T35" s="28"/>
    </row>
    <row r="36" spans="2:36" x14ac:dyDescent="0.2">
      <c r="B36" s="79"/>
      <c r="C36" s="171"/>
      <c r="D36" s="171"/>
      <c r="E36" s="171"/>
      <c r="F36" s="80"/>
      <c r="H36" s="125"/>
      <c r="I36" s="171"/>
      <c r="J36" s="171"/>
      <c r="K36" s="56"/>
      <c r="L36" s="80"/>
      <c r="T36" s="28"/>
    </row>
    <row r="37" spans="2:36" ht="17" thickBot="1" x14ac:dyDescent="0.25">
      <c r="B37" s="109" t="s">
        <v>21</v>
      </c>
      <c r="C37" s="171"/>
      <c r="D37" s="171"/>
      <c r="E37" s="171"/>
      <c r="F37" s="80"/>
      <c r="H37" s="109" t="s">
        <v>23</v>
      </c>
      <c r="I37" s="171"/>
      <c r="J37" s="171"/>
      <c r="K37" s="171"/>
      <c r="L37" s="80"/>
    </row>
    <row r="38" spans="2:36" ht="18" thickTop="1" thickBot="1" x14ac:dyDescent="0.25">
      <c r="B38" s="89" t="s">
        <v>792</v>
      </c>
      <c r="C38" s="171"/>
      <c r="D38" s="171"/>
      <c r="E38" s="171"/>
      <c r="F38" s="80"/>
      <c r="H38" s="79" t="s">
        <v>27</v>
      </c>
      <c r="I38" s="171"/>
      <c r="J38" s="171" t="s">
        <v>28</v>
      </c>
      <c r="K38" s="171"/>
      <c r="L38" s="80"/>
    </row>
    <row r="39" spans="2:36" ht="18" thickTop="1" thickBot="1" x14ac:dyDescent="0.25">
      <c r="B39" s="79"/>
      <c r="C39" s="171"/>
      <c r="D39" s="171"/>
      <c r="E39" s="171"/>
      <c r="F39" s="80"/>
      <c r="H39" s="89" t="s">
        <v>31</v>
      </c>
      <c r="I39" s="171"/>
      <c r="J39" s="62">
        <v>60</v>
      </c>
      <c r="K39" s="171" t="s">
        <v>32</v>
      </c>
      <c r="L39" s="80"/>
    </row>
    <row r="40" spans="2:36" ht="17" thickTop="1" x14ac:dyDescent="0.2">
      <c r="B40" s="109" t="s">
        <v>24</v>
      </c>
      <c r="C40" s="90" t="s">
        <v>25</v>
      </c>
      <c r="D40" s="92" t="s">
        <v>26</v>
      </c>
      <c r="E40" s="171"/>
      <c r="F40" s="80"/>
      <c r="H40" s="79"/>
      <c r="I40" s="90" t="s">
        <v>25</v>
      </c>
      <c r="J40" s="92" t="s">
        <v>26</v>
      </c>
      <c r="K40" s="171"/>
      <c r="L40" s="80"/>
    </row>
    <row r="41" spans="2:36" x14ac:dyDescent="0.2">
      <c r="B41" s="357" t="s">
        <v>29</v>
      </c>
      <c r="C41" s="55">
        <f>_xlfn.XLOOKUP(B38,'DATA - Variabelen &amp; waarden'!B6:B20,'DATA - Variabelen &amp; waarden'!E6:E20)</f>
        <v>50</v>
      </c>
      <c r="D41" s="62"/>
      <c r="E41" s="171">
        <f>IF(ISBLANK(D41),C41,D41)</f>
        <v>50</v>
      </c>
      <c r="F41" s="80" t="s">
        <v>30</v>
      </c>
      <c r="H41" s="187" t="s">
        <v>37</v>
      </c>
      <c r="I41" s="313" cm="1">
        <f t="array" ref="I41">(_xlfn.XLOOKUP($H$39,CO2Calculation[[#All],[CO2 emissie per hectare - formules]],CO2Calculation[[#All],[Richtingscoëfficiënt]])*($J$39/100))+_xlfn.XLOOKUP($H$39,CO2Calculation[[#All],[CO2 emissie per hectare - formules]],CO2Calculation[[#All],[Start]])</f>
        <v>4.8580000000000005</v>
      </c>
      <c r="J41" s="62"/>
      <c r="K41" s="315">
        <f>IF(I41&lt;=0,0,IF(ISBLANK(J41),I41,J41))</f>
        <v>4.8580000000000005</v>
      </c>
      <c r="L41" s="80" t="s">
        <v>36</v>
      </c>
    </row>
    <row r="42" spans="2:36" ht="19" x14ac:dyDescent="0.35">
      <c r="B42" s="79" t="s">
        <v>33</v>
      </c>
      <c r="C42" s="171"/>
      <c r="D42" s="62">
        <v>50</v>
      </c>
      <c r="E42" s="171">
        <f>D42</f>
        <v>50</v>
      </c>
      <c r="F42" s="80" t="s">
        <v>34</v>
      </c>
      <c r="H42" s="187" t="s">
        <v>40</v>
      </c>
      <c r="I42" s="313" cm="1">
        <f t="array" ref="I42">(_xlfn.XLOOKUP(H39,NO2Calculation[[#All],[NO2 emissie per hectare - formules]],NO2Calculation[[#All],[Richtingscoëfficiënt]])*((J39/100)^2))+(_xlfn.XLOOKUP(H39,NO2Calculation[[#All],[NO2 emissie per hectare - formules]],NO2Calculation[[#All],[Verschuiving]])*(J39/100))+_xlfn.XLOOKUP(H39,NO2Calculation[[#All],[NO2 emissie per hectare - formules]],NO2Calculation[[#All],[Start]])</f>
        <v>1.4548000000000003</v>
      </c>
      <c r="J42" s="62"/>
      <c r="K42" s="317">
        <f>IF(I42&lt;=0,0,IF(ISBLANK(J42),I42,J42))</f>
        <v>1.4548000000000003</v>
      </c>
      <c r="L42" s="80" t="s">
        <v>36</v>
      </c>
    </row>
    <row r="43" spans="2:36" x14ac:dyDescent="0.2">
      <c r="B43" s="79"/>
      <c r="C43" s="171"/>
      <c r="D43" s="171"/>
      <c r="E43" s="171"/>
      <c r="F43" s="80"/>
      <c r="H43" s="79"/>
      <c r="I43" s="171"/>
      <c r="J43" s="316" t="s">
        <v>42</v>
      </c>
      <c r="K43" s="315">
        <f>SUM(K41:K42)</f>
        <v>6.3128000000000011</v>
      </c>
      <c r="L43" s="80" t="s">
        <v>36</v>
      </c>
      <c r="M43" s="28"/>
    </row>
    <row r="44" spans="2:36" ht="17" thickBot="1" x14ac:dyDescent="0.25">
      <c r="B44" s="109" t="s">
        <v>567</v>
      </c>
      <c r="C44" s="171"/>
      <c r="D44" s="171"/>
      <c r="E44" s="171"/>
      <c r="F44" s="80"/>
      <c r="H44" s="109" t="s">
        <v>43</v>
      </c>
      <c r="I44" s="171"/>
      <c r="J44" s="171"/>
      <c r="K44" s="171"/>
      <c r="L44" s="80"/>
      <c r="M44" s="28"/>
    </row>
    <row r="45" spans="2:36" ht="18" thickTop="1" thickBot="1" x14ac:dyDescent="0.25">
      <c r="B45" s="79" t="s">
        <v>198</v>
      </c>
      <c r="C45" s="69" t="s">
        <v>673</v>
      </c>
      <c r="D45" s="171"/>
      <c r="E45" s="339">
        <f>IF(C45="Berekend",K52,E51)</f>
        <v>15</v>
      </c>
      <c r="F45" s="80" t="s">
        <v>36</v>
      </c>
      <c r="H45" s="79" t="s">
        <v>27</v>
      </c>
      <c r="I45" s="171"/>
      <c r="J45" s="171" t="s">
        <v>28</v>
      </c>
      <c r="K45" s="171"/>
      <c r="L45" s="80"/>
      <c r="M45" s="28"/>
    </row>
    <row r="46" spans="2:36" ht="18" thickTop="1" thickBot="1" x14ac:dyDescent="0.25">
      <c r="B46" s="79" t="s">
        <v>576</v>
      </c>
      <c r="C46" s="171"/>
      <c r="D46" s="171"/>
      <c r="E46" s="339">
        <f>E45*E41</f>
        <v>750</v>
      </c>
      <c r="F46" s="80" t="s">
        <v>41</v>
      </c>
      <c r="H46" s="89" t="s">
        <v>31</v>
      </c>
      <c r="I46" s="171"/>
      <c r="J46" s="62">
        <v>-3</v>
      </c>
      <c r="K46" s="171" t="s">
        <v>32</v>
      </c>
      <c r="L46" s="80"/>
      <c r="M46" s="28"/>
    </row>
    <row r="47" spans="2:36" ht="17" thickTop="1" x14ac:dyDescent="0.2">
      <c r="B47" s="79"/>
      <c r="C47" s="171"/>
      <c r="D47" s="171"/>
      <c r="E47" s="171"/>
      <c r="F47" s="80"/>
      <c r="H47" s="79"/>
      <c r="I47" s="90" t="s">
        <v>25</v>
      </c>
      <c r="J47" s="92" t="s">
        <v>26</v>
      </c>
      <c r="K47" s="171"/>
      <c r="L47" s="80"/>
      <c r="M47" s="28"/>
    </row>
    <row r="48" spans="2:36" x14ac:dyDescent="0.2">
      <c r="B48" s="359" t="s">
        <v>568</v>
      </c>
      <c r="C48" s="336" t="s">
        <v>25</v>
      </c>
      <c r="D48" s="337" t="s">
        <v>26</v>
      </c>
      <c r="E48" s="341"/>
      <c r="F48" s="342"/>
      <c r="H48" s="187" t="s">
        <v>37</v>
      </c>
      <c r="I48" s="313" cm="1">
        <f t="array" ref="I48">(_xlfn.XLOOKUP($H$46,CO2Calculation[[#All],[CO2 emissie per hectare - formules]],CO2Calculation[[#All],[Richtingscoëfficiënt]])*($J$46/100))+_xlfn.XLOOKUP($H$46,CO2Calculation[[#All],[CO2 emissie per hectare - formules]],CO2Calculation[[#All],[Start]])</f>
        <v>2.4451000000000001</v>
      </c>
      <c r="J48" s="62"/>
      <c r="K48" s="315">
        <f>IF(I48&lt;=0,0,IF(ISBLANK(J48),I48,J48))</f>
        <v>2.4451000000000001</v>
      </c>
      <c r="L48" s="80" t="s">
        <v>36</v>
      </c>
      <c r="M48" s="28"/>
    </row>
    <row r="49" spans="2:36" ht="19" x14ac:dyDescent="0.35">
      <c r="B49" s="340" t="s">
        <v>35</v>
      </c>
      <c r="C49" s="55">
        <f>_xlfn.XLOOKUP($B$38,'DATA - Variabelen &amp; waarden'!B22:B36,'DATA - Variabelen &amp; waarden'!E22:E36,"Selecteer Regio")</f>
        <v>30</v>
      </c>
      <c r="D49" s="62"/>
      <c r="E49" s="339">
        <f>IF(ISBLANK(D49),C49,D49)</f>
        <v>30</v>
      </c>
      <c r="F49" s="342" t="s">
        <v>36</v>
      </c>
      <c r="H49" s="187" t="s">
        <v>40</v>
      </c>
      <c r="I49" s="313" cm="1">
        <f t="array" ref="I49">(_xlfn.XLOOKUP(H46,NO2Calculation[[#All],[NO2 emissie per hectare - formules]],NO2Calculation[[#All],[Richtingscoëfficiënt]])*((J46/100)^2))+(_xlfn.XLOOKUP(H46,NO2Calculation[[#All],[NO2 emissie per hectare - formules]],NO2Calculation[[#All],[Verschuiving]])*(J46/100))+_xlfn.XLOOKUP(H46,NO2Calculation[[#All],[NO2 emissie per hectare - formules]],NO2Calculation[[#All],[Start]])</f>
        <v>0.21773200000000004</v>
      </c>
      <c r="J49" s="62"/>
      <c r="K49" s="317">
        <f>IF(I49&lt;=0,0,IF(ISBLANK(J49),I49,J49))</f>
        <v>0.21773200000000004</v>
      </c>
      <c r="L49" s="80" t="s">
        <v>36</v>
      </c>
      <c r="M49" s="28"/>
    </row>
    <row r="50" spans="2:36" x14ac:dyDescent="0.2">
      <c r="B50" s="415" t="s">
        <v>38</v>
      </c>
      <c r="C50" s="55">
        <f>_xlfn.XLOOKUP(B38,'DATA - Variabelen &amp; waarden'!B22:B36,'DATA - Variabelen &amp; waarden'!F22:F36,"Selecteer Regio")</f>
        <v>15</v>
      </c>
      <c r="D50" s="62"/>
      <c r="E50" s="339">
        <f>IF(ISBLANK(D50),C50,D50)</f>
        <v>15</v>
      </c>
      <c r="F50" s="342" t="s">
        <v>36</v>
      </c>
      <c r="H50" s="79"/>
      <c r="I50" s="171"/>
      <c r="J50" s="316" t="s">
        <v>42</v>
      </c>
      <c r="K50" s="315">
        <f>SUM(K48:K49)</f>
        <v>2.6628319999999999</v>
      </c>
      <c r="L50" s="80" t="s">
        <v>36</v>
      </c>
      <c r="M50" s="28"/>
    </row>
    <row r="51" spans="2:36" x14ac:dyDescent="0.2">
      <c r="B51" s="79" t="s">
        <v>39</v>
      </c>
      <c r="C51" s="341"/>
      <c r="D51" s="341"/>
      <c r="E51" s="339">
        <f>E49-E50</f>
        <v>15</v>
      </c>
      <c r="F51" s="342" t="s">
        <v>36</v>
      </c>
      <c r="H51" s="79"/>
      <c r="I51" s="171"/>
      <c r="J51" s="171"/>
      <c r="K51" s="56"/>
      <c r="L51" s="80"/>
      <c r="M51" s="28"/>
      <c r="W51" s="3"/>
    </row>
    <row r="52" spans="2:36" x14ac:dyDescent="0.2">
      <c r="B52" s="340"/>
      <c r="C52" s="341"/>
      <c r="D52" s="338"/>
      <c r="E52" s="267"/>
      <c r="F52" s="80"/>
      <c r="H52" s="79" t="s">
        <v>39</v>
      </c>
      <c r="I52" s="171"/>
      <c r="J52" s="318"/>
      <c r="K52" s="68">
        <f>K43-K50</f>
        <v>3.6499680000000012</v>
      </c>
      <c r="L52" s="80" t="s">
        <v>36</v>
      </c>
      <c r="M52" s="28"/>
      <c r="W52" s="3"/>
    </row>
    <row r="53" spans="2:36" x14ac:dyDescent="0.2">
      <c r="B53" s="81"/>
      <c r="C53" s="172"/>
      <c r="D53" s="172"/>
      <c r="E53" s="172"/>
      <c r="F53" s="82"/>
      <c r="H53" s="81"/>
      <c r="I53" s="172"/>
      <c r="J53" s="172"/>
      <c r="K53" s="193"/>
      <c r="L53" s="82"/>
      <c r="T53" s="28"/>
      <c r="W53" s="3"/>
    </row>
    <row r="54" spans="2:36" s="28" customFormat="1" x14ac:dyDescent="0.2">
      <c r="B54" s="38"/>
      <c r="C54" s="38"/>
      <c r="D54" s="38"/>
      <c r="E54" s="38"/>
      <c r="F54" s="38"/>
      <c r="K54" s="175"/>
    </row>
    <row r="55" spans="2:36" s="106" customFormat="1" ht="17" x14ac:dyDescent="0.2">
      <c r="B55" s="105" t="s">
        <v>3</v>
      </c>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row>
    <row r="57" spans="2:36" x14ac:dyDescent="0.2">
      <c r="B57" s="58" t="s">
        <v>797</v>
      </c>
      <c r="C57" s="150"/>
      <c r="D57" s="150"/>
      <c r="E57" s="150"/>
      <c r="F57" s="59"/>
      <c r="H57" s="87" t="s">
        <v>44</v>
      </c>
      <c r="I57" s="173"/>
      <c r="J57" s="173"/>
      <c r="K57" s="183"/>
      <c r="L57" s="85"/>
      <c r="N57" s="87" t="s">
        <v>45</v>
      </c>
      <c r="O57" s="173"/>
      <c r="P57" s="173"/>
      <c r="Q57" s="173"/>
      <c r="R57" s="85"/>
    </row>
    <row r="58" spans="2:36" x14ac:dyDescent="0.2">
      <c r="B58" s="79"/>
      <c r="C58" s="171"/>
      <c r="D58" s="171"/>
      <c r="E58" s="171"/>
      <c r="F58" s="80"/>
      <c r="H58" s="125"/>
      <c r="I58" s="171"/>
      <c r="J58" s="171"/>
      <c r="K58" s="104"/>
      <c r="L58" s="80"/>
      <c r="N58" s="125"/>
      <c r="O58" s="171"/>
      <c r="P58" s="171"/>
      <c r="Q58" s="171"/>
      <c r="R58" s="80"/>
    </row>
    <row r="59" spans="2:36" ht="17" thickBot="1" x14ac:dyDescent="0.25">
      <c r="B59" s="416" t="s">
        <v>796</v>
      </c>
      <c r="C59" s="503" t="s">
        <v>46</v>
      </c>
      <c r="D59" s="503"/>
      <c r="E59" s="503" t="s">
        <v>47</v>
      </c>
      <c r="F59" s="505"/>
      <c r="H59" s="343" t="s">
        <v>1</v>
      </c>
      <c r="I59" s="90" t="s">
        <v>25</v>
      </c>
      <c r="J59" s="92" t="s">
        <v>26</v>
      </c>
      <c r="K59" s="56"/>
      <c r="L59" s="80"/>
      <c r="N59" s="343" t="str" cm="1">
        <f t="array" ref="N59:N75">CultCost01[[#All],[Gewasverzorging]]</f>
        <v>Gewasverzorging</v>
      </c>
      <c r="O59" s="90" t="s">
        <v>25</v>
      </c>
      <c r="P59" s="92" t="s">
        <v>26</v>
      </c>
      <c r="Q59" s="65">
        <f>SUM(Q60:Q64,Q67,Q72,Q75)</f>
        <v>220</v>
      </c>
      <c r="R59" s="184" t="s">
        <v>48</v>
      </c>
    </row>
    <row r="60" spans="2:36" ht="18" thickTop="1" thickBot="1" x14ac:dyDescent="0.25">
      <c r="B60" s="60" t="str">
        <f>H59</f>
        <v>Jaarlijks grondgebruik</v>
      </c>
      <c r="C60" s="55">
        <f>K60</f>
        <v>714</v>
      </c>
      <c r="D60" s="171" t="s">
        <v>48</v>
      </c>
      <c r="E60" s="55">
        <f t="shared" ref="E60:E65" si="0">C60*$E$41</f>
        <v>35700</v>
      </c>
      <c r="F60" s="61" t="s">
        <v>49</v>
      </c>
      <c r="H60" s="89" t="s">
        <v>50</v>
      </c>
      <c r="I60" s="56">
        <f>IF(H60=H62,K63,SUM(K71,K72))</f>
        <v>714</v>
      </c>
      <c r="J60" s="213"/>
      <c r="K60" s="54">
        <f>IF(ISBLANK(J60),I60,J60)</f>
        <v>714</v>
      </c>
      <c r="L60" s="184" t="s">
        <v>48</v>
      </c>
      <c r="N60" s="189" t="str">
        <v>Meststoffen</v>
      </c>
      <c r="O60" s="69" t="s">
        <v>63</v>
      </c>
      <c r="P60" s="62"/>
      <c r="Q60" s="176" cm="1">
        <f t="array" ref="Q60">IF(ISBLANK(P60),INDEX(CultCost01[[#All],[Geen]:[Waarde MIN]],_xlfn.XMATCH('SCENARIO 2 - Beste geval'!N60,CultCost01[[#All],[Gewasverzorging]]),_xlfn.XMATCH('SCENARIO 2 - Beste geval'!O60,CultCost01[[#Headers],[Geen]:[Waarde MIN]])),P60)</f>
        <v>0</v>
      </c>
      <c r="R60" s="190" t="s">
        <v>48</v>
      </c>
    </row>
    <row r="61" spans="2:36" ht="18" thickTop="1" thickBot="1" x14ac:dyDescent="0.25">
      <c r="B61" s="60" t="str">
        <f>N59</f>
        <v>Gewasverzorging</v>
      </c>
      <c r="C61" s="55">
        <f>Q59</f>
        <v>220</v>
      </c>
      <c r="D61" s="171" t="s">
        <v>48</v>
      </c>
      <c r="E61" s="55">
        <f t="shared" si="0"/>
        <v>11000</v>
      </c>
      <c r="F61" s="61" t="s">
        <v>49</v>
      </c>
      <c r="H61" s="79"/>
      <c r="I61" s="171"/>
      <c r="J61" s="171"/>
      <c r="K61" s="56"/>
      <c r="L61" s="80"/>
      <c r="N61" s="189" t="str">
        <v>Gewasbeschermingsmiddelen</v>
      </c>
      <c r="O61" s="69" t="s">
        <v>63</v>
      </c>
      <c r="P61" s="62"/>
      <c r="Q61" s="176" cm="1">
        <f t="array" ref="Q61">IF(ISBLANK(P61),INDEX(CultCost01[[#All],[Geen]:[Waarde MIN]],_xlfn.XMATCH('SCENARIO 2 - Beste geval'!N61,CultCost01[[#All],[Gewasverzorging]]),_xlfn.XMATCH('SCENARIO 2 - Beste geval'!O61,CultCost01[[#Headers],[Geen]:[Waarde MIN]])),P61)</f>
        <v>0</v>
      </c>
      <c r="R61" s="190" t="s">
        <v>48</v>
      </c>
    </row>
    <row r="62" spans="2:36" ht="18" thickTop="1" thickBot="1" x14ac:dyDescent="0.25">
      <c r="B62" s="60" t="str">
        <f>N77</f>
        <v>Energieverbruik en water</v>
      </c>
      <c r="C62" s="55">
        <f>Q77</f>
        <v>30</v>
      </c>
      <c r="D62" s="171" t="s">
        <v>48</v>
      </c>
      <c r="E62" s="55">
        <f t="shared" si="0"/>
        <v>1500</v>
      </c>
      <c r="F62" s="61" t="s">
        <v>49</v>
      </c>
      <c r="H62" s="251" t="str">
        <f>'DATA - Variabelen &amp; waarden'!B54</f>
        <v xml:space="preserve">Pacht </v>
      </c>
      <c r="I62" s="171"/>
      <c r="J62" s="171"/>
      <c r="K62" s="56"/>
      <c r="L62" s="80"/>
      <c r="N62" s="187" t="str">
        <v>Ongediertebestrijding - uren</v>
      </c>
      <c r="O62" s="69" t="s">
        <v>51</v>
      </c>
      <c r="P62" s="62"/>
      <c r="Q62" s="360" cm="1">
        <f t="array" ref="Q62">IF(ISBLANK(P62),INDEX(CultCost01[[#All],[Geen]:[Waarde MIN]],_xlfn.XMATCH('SCENARIO 2 - Beste geval'!N62,CultCost01[[#All],[Gewasverzorging]]),_xlfn.XMATCH('SCENARIO 2 - Beste geval'!O62,CultCost01[[#Headers],[Geen]:[Waarde MIN]])),P62)</f>
        <v>2.5</v>
      </c>
      <c r="R62" s="191" t="s">
        <v>55</v>
      </c>
    </row>
    <row r="63" spans="2:36" ht="18" thickTop="1" thickBot="1" x14ac:dyDescent="0.25">
      <c r="B63" s="60" t="str">
        <f>N82</f>
        <v>Belastingen en verzekeringen</v>
      </c>
      <c r="C63" s="55">
        <f>Q82</f>
        <v>27.81</v>
      </c>
      <c r="D63" s="171" t="s">
        <v>48</v>
      </c>
      <c r="E63" s="55">
        <f t="shared" si="0"/>
        <v>1390.5</v>
      </c>
      <c r="F63" s="61" t="s">
        <v>49</v>
      </c>
      <c r="H63" s="79" t="str">
        <f>B38</f>
        <v xml:space="preserve">Hollands/Utrechts weidegebied </v>
      </c>
      <c r="I63" s="171"/>
      <c r="J63" s="62"/>
      <c r="K63" s="176" cm="1">
        <f t="array" ref="K63">IF(ISBLANK(J63),_xlfn.XLOOKUP(H63,PachtPrijs[[#All],[Pachtprijs - per regio]],PachtPrijs[[#All],[Regionorm 2020]],"Selecteer gebied"),J63)</f>
        <v>714</v>
      </c>
      <c r="L63" s="190" t="s">
        <v>48</v>
      </c>
      <c r="N63" s="187" t="str">
        <v>Ongediertebestrijding - tarief</v>
      </c>
      <c r="O63" s="69" t="s">
        <v>51</v>
      </c>
      <c r="P63" s="62"/>
      <c r="Q63" s="188" cm="1">
        <f t="array" ref="Q63">IF(ISBLANK(P63),INDEX(CultCost01[[#All],[Geen]:[Waarde MIN]],_xlfn.XMATCH('SCENARIO 2 - Beste geval'!N63,CultCost01[[#All],[Gewasverzorging]]),_xlfn.XMATCH('SCENARIO 2 - Beste geval'!O63,CultCost01[[#Headers],[Geen]:[Waarde MIN]])),P63)</f>
        <v>20</v>
      </c>
      <c r="R63" s="191" t="s">
        <v>57</v>
      </c>
    </row>
    <row r="64" spans="2:36" ht="18" thickTop="1" thickBot="1" x14ac:dyDescent="0.25">
      <c r="B64" s="60" t="str">
        <f>N86</f>
        <v>Onderhoud</v>
      </c>
      <c r="C64" s="55">
        <f>Q86</f>
        <v>107.875</v>
      </c>
      <c r="D64" s="171" t="s">
        <v>48</v>
      </c>
      <c r="E64" s="55">
        <f t="shared" si="0"/>
        <v>5393.75</v>
      </c>
      <c r="F64" s="61" t="s">
        <v>49</v>
      </c>
      <c r="H64" s="79"/>
      <c r="I64" s="171"/>
      <c r="J64" s="171"/>
      <c r="K64" s="176"/>
      <c r="L64" s="190"/>
      <c r="N64" s="189" t="str">
        <v>Ongediertebestrijding</v>
      </c>
      <c r="O64" s="55">
        <f>Q62*Q63</f>
        <v>50</v>
      </c>
      <c r="P64" s="62"/>
      <c r="Q64" s="176">
        <f>IF(ISBLANK(P64),O64,P64)</f>
        <v>50</v>
      </c>
      <c r="R64" s="190" t="s">
        <v>48</v>
      </c>
    </row>
    <row r="65" spans="2:22" ht="18" thickTop="1" thickBot="1" x14ac:dyDescent="0.25">
      <c r="B65" s="63" t="str">
        <f>N95</f>
        <v>Afschrijving &amp; aflossing teeltinvesteringen</v>
      </c>
      <c r="C65" s="53">
        <f>Q95</f>
        <v>654.59774219528447</v>
      </c>
      <c r="D65" s="115" t="s">
        <v>48</v>
      </c>
      <c r="E65" s="53">
        <f t="shared" si="0"/>
        <v>32729.887109764222</v>
      </c>
      <c r="F65" s="64" t="s">
        <v>49</v>
      </c>
      <c r="H65" s="260" t="s">
        <v>56</v>
      </c>
      <c r="I65" s="171"/>
      <c r="J65" s="171"/>
      <c r="K65" s="182"/>
      <c r="L65" s="185"/>
      <c r="N65" s="187" t="str">
        <v>Dijkbeheer &amp; slootonderhoud - uren</v>
      </c>
      <c r="O65" s="69" t="s">
        <v>51</v>
      </c>
      <c r="P65" s="62"/>
      <c r="Q65" s="360" cm="1">
        <f t="array" ref="Q65">IF(ISBLANK(P65),INDEX(CultCost01[[#All],[Geen]:[Waarde MIN]],_xlfn.XMATCH('SCENARIO 2 - Beste geval'!N65,CultCost01[[#All],[Gewasverzorging]]),_xlfn.XMATCH('SCENARIO 2 - Beste geval'!O65,CultCost01[[#Headers],[Geen]:[Waarde MIN]])),P65)</f>
        <v>1</v>
      </c>
      <c r="R65" s="191" t="s">
        <v>55</v>
      </c>
    </row>
    <row r="66" spans="2:22" ht="18" thickTop="1" thickBot="1" x14ac:dyDescent="0.25">
      <c r="B66" s="416" t="s">
        <v>47</v>
      </c>
      <c r="C66" s="65">
        <f>SUM(C60:C65)</f>
        <v>1754.2827421952843</v>
      </c>
      <c r="D66" s="57" t="s">
        <v>48</v>
      </c>
      <c r="E66" s="65">
        <f>SUM(E60:E65)</f>
        <v>87714.137109764226</v>
      </c>
      <c r="F66" s="417" t="s">
        <v>49</v>
      </c>
      <c r="H66" s="187" t="str">
        <f>'DATA - Variabelen &amp; waarden'!B56</f>
        <v xml:space="preserve">Grondprijs </v>
      </c>
      <c r="I66" s="69" t="s">
        <v>51</v>
      </c>
      <c r="J66" s="62"/>
      <c r="K66" s="178" cm="1">
        <f t="array" ref="K66">IF(ISBLANK(J66),INDEX(LandUse01[[#All],[Geen]:[Waarde MIN]],_xlfn.XMATCH(H66,LandUse01[[#All],[Grondgebruik ]]),_xlfn.XMATCH('SCENARIO 2 - Beste geval'!I66,LandUse01[[#Headers],[Geen]:[Waarde MIN]])),J66)</f>
        <v>59500</v>
      </c>
      <c r="L66" s="185" t="s">
        <v>48</v>
      </c>
      <c r="N66" s="187" t="str">
        <v>Dijkbeheer &amp; slootonderhoud - tarief</v>
      </c>
      <c r="O66" s="69" t="s">
        <v>51</v>
      </c>
      <c r="P66" s="62"/>
      <c r="Q66" s="188" cm="1">
        <f t="array" ref="Q66">IF(ISBLANK(P66),INDEX(CultCost01[[#All],[Geen]:[Waarde MIN]],_xlfn.XMATCH('SCENARIO 2 - Beste geval'!N66,CultCost01[[#All],[Gewasverzorging]]),_xlfn.XMATCH('SCENARIO 2 - Beste geval'!O66,CultCost01[[#Headers],[Geen]:[Waarde MIN]])),P66)</f>
        <v>20</v>
      </c>
      <c r="R66" s="191" t="s">
        <v>57</v>
      </c>
    </row>
    <row r="67" spans="2:22" ht="18" thickTop="1" thickBot="1" x14ac:dyDescent="0.25">
      <c r="B67" s="79"/>
      <c r="C67" s="171"/>
      <c r="D67" s="171"/>
      <c r="E67" s="171"/>
      <c r="F67" s="80"/>
      <c r="H67" s="187" t="str">
        <f>'DATA - Variabelen &amp; waarden'!B57</f>
        <v>Rente lening</v>
      </c>
      <c r="I67" s="69" t="s">
        <v>51</v>
      </c>
      <c r="J67" s="62"/>
      <c r="K67" s="290" cm="1">
        <f t="array" ref="K67">IF(ISBLANK(J67),INDEX(LandUse01[[#All],[Geen]:[Waarde MIN]],_xlfn.XMATCH('SCENARIO 2 - Beste geval'!H67,LandUse01[[#All],[Grondgebruik ]]),_xlfn.XMATCH('SCENARIO 2 - Beste geval'!I67,LandUse01[[#Headers],[Geen]:[Waarde MIN]])),J67)</f>
        <v>0.01</v>
      </c>
      <c r="L67" s="185" t="s">
        <v>58</v>
      </c>
      <c r="N67" s="189" t="str">
        <v>Dijkbeheer &amp; slootonderhoud</v>
      </c>
      <c r="O67" s="55">
        <f>Q65*Q66</f>
        <v>20</v>
      </c>
      <c r="P67" s="62"/>
      <c r="Q67" s="176">
        <f>IF(ISBLANK(P67),O67,P67)</f>
        <v>20</v>
      </c>
      <c r="R67" s="190" t="s">
        <v>48</v>
      </c>
    </row>
    <row r="68" spans="2:22" ht="18" thickTop="1" thickBot="1" x14ac:dyDescent="0.25">
      <c r="B68" s="416" t="s">
        <v>798</v>
      </c>
      <c r="C68" s="503" t="s">
        <v>46</v>
      </c>
      <c r="D68" s="503"/>
      <c r="E68" s="503" t="s">
        <v>47</v>
      </c>
      <c r="F68" s="505"/>
      <c r="H68" s="187" t="str">
        <f>'DATA - Variabelen &amp; waarden'!B58</f>
        <v xml:space="preserve">Aflossingstermijn </v>
      </c>
      <c r="I68" s="69" t="s">
        <v>52</v>
      </c>
      <c r="J68" s="62"/>
      <c r="K68" s="178" cm="1">
        <f t="array" ref="K68">IF(ISBLANK(J68),INDEX(LandUse01[[#All],[Geen]:[Waarde MIN]],_xlfn.XMATCH('SCENARIO 2 - Beste geval'!H68,LandUse01[[#All],[Grondgebruik ]]),_xlfn.XMATCH('SCENARIO 2 - Beste geval'!I68,LandUse01[[#Headers],[Geen]:[Waarde MIN]])),J68)</f>
        <v>30</v>
      </c>
      <c r="L68" s="185" t="s">
        <v>59</v>
      </c>
      <c r="N68" s="187" t="str">
        <v>Gewasverzorging - uren medewerker</v>
      </c>
      <c r="O68" s="69" t="s">
        <v>51</v>
      </c>
      <c r="P68" s="62"/>
      <c r="Q68" s="178" cm="1">
        <f t="array" ref="Q68">IF(ISBLANK(P68),INDEX(CultCost01[[#All],[Geen]:[Waarde MIN]],_xlfn.XMATCH('SCENARIO 2 - Beste geval'!N68,CultCost01[[#All],[Gewasverzorging]]),_xlfn.XMATCH('SCENARIO 2 - Beste geval'!O68,CultCost01[[#Headers],[Geen]:[Waarde MIN]])),P68)</f>
        <v>5</v>
      </c>
      <c r="R68" s="185" t="s">
        <v>55</v>
      </c>
    </row>
    <row r="69" spans="2:22" ht="18" thickTop="1" thickBot="1" x14ac:dyDescent="0.25">
      <c r="B69" s="79" t="s">
        <v>799</v>
      </c>
      <c r="C69" s="55">
        <f>K74</f>
        <v>3850</v>
      </c>
      <c r="D69" s="171" t="s">
        <v>48</v>
      </c>
      <c r="E69" s="55">
        <f t="shared" ref="E69:E70" si="1">C69*$E$41</f>
        <v>192500</v>
      </c>
      <c r="F69" s="61" t="s">
        <v>49</v>
      </c>
      <c r="H69" s="187" t="str">
        <f>'DATA - Variabelen &amp; waarden'!B59</f>
        <v>Restwaarde grond - %</v>
      </c>
      <c r="I69" s="69" t="s">
        <v>52</v>
      </c>
      <c r="J69" s="62"/>
      <c r="K69" s="214" cm="1">
        <f t="array" ref="K69">IF(ISBLANK(J69),INDEX(LandUse01[[#All],[Geen]:[Waarde MIN]],_xlfn.XMATCH('SCENARIO 2 - Beste geval'!H69,LandUse01[[#All],[Grondgebruik ]]),_xlfn.XMATCH('SCENARIO 2 - Beste geval'!I69,LandUse01[[#Headers],[Geen]:[Waarde MIN]])),J69)</f>
        <v>1</v>
      </c>
      <c r="L69" s="185" t="s">
        <v>58</v>
      </c>
      <c r="N69" s="187" t="str">
        <v>Medewerker - tarief per uur</v>
      </c>
      <c r="O69" s="69" t="s">
        <v>51</v>
      </c>
      <c r="P69" s="62"/>
      <c r="Q69" s="178" cm="1">
        <f t="array" ref="Q69">IF(ISBLANK(P69),INDEX(CultCost01[[#All],[Geen]:[Waarde MIN]],_xlfn.XMATCH('SCENARIO 2 - Beste geval'!N69,CultCost01[[#All],[Gewasverzorging]]),_xlfn.XMATCH('SCENARIO 2 - Beste geval'!O69,CultCost01[[#Headers],[Geen]:[Waarde MIN]])),P69)</f>
        <v>20</v>
      </c>
      <c r="R69" s="185" t="s">
        <v>57</v>
      </c>
    </row>
    <row r="70" spans="2:22" ht="18" thickTop="1" thickBot="1" x14ac:dyDescent="0.25">
      <c r="B70" s="114" t="s">
        <v>800</v>
      </c>
      <c r="C70" s="418">
        <f>K93</f>
        <v>3765</v>
      </c>
      <c r="D70" s="115" t="s">
        <v>48</v>
      </c>
      <c r="E70" s="418">
        <f t="shared" si="1"/>
        <v>188250</v>
      </c>
      <c r="F70" s="419" t="s">
        <v>49</v>
      </c>
      <c r="H70" s="187" t="s">
        <v>60</v>
      </c>
      <c r="I70" s="197">
        <f>K66*K69</f>
        <v>59500</v>
      </c>
      <c r="J70" s="62"/>
      <c r="K70" s="178">
        <f>IF(ISBLANK(J70),I70,J70)</f>
        <v>59500</v>
      </c>
      <c r="L70" s="185" t="s">
        <v>48</v>
      </c>
      <c r="N70" s="187" t="str">
        <v xml:space="preserve">Gewasverzorging - uren management </v>
      </c>
      <c r="O70" s="69" t="s">
        <v>51</v>
      </c>
      <c r="P70" s="62"/>
      <c r="Q70" s="178" cm="1">
        <f t="array" ref="Q70">IF(ISBLANK(P70),INDEX(CultCost01[[#All],[Geen]:[Waarde MIN]],_xlfn.XMATCH('SCENARIO 2 - Beste geval'!N70,CultCost01[[#All],[Gewasverzorging]]),_xlfn.XMATCH('SCENARIO 2 - Beste geval'!O70,CultCost01[[#Headers],[Geen]:[Waarde MIN]])),P70)</f>
        <v>0.5</v>
      </c>
      <c r="R70" s="185" t="s">
        <v>55</v>
      </c>
    </row>
    <row r="71" spans="2:22" ht="18" thickTop="1" thickBot="1" x14ac:dyDescent="0.25">
      <c r="B71" s="424" t="s">
        <v>47</v>
      </c>
      <c r="C71" s="249">
        <f>SUM(C69:C70)</f>
        <v>7615</v>
      </c>
      <c r="D71" s="119" t="s">
        <v>48</v>
      </c>
      <c r="E71" s="249">
        <f>SUM(E69:E70)</f>
        <v>380750</v>
      </c>
      <c r="F71" s="425" t="s">
        <v>49</v>
      </c>
      <c r="H71" s="189" t="s">
        <v>61</v>
      </c>
      <c r="I71" s="176">
        <f>-PMT(K67,K68,K66)</f>
        <v>2305.5127363429051</v>
      </c>
      <c r="J71" s="62"/>
      <c r="K71" s="176">
        <f>IF(ISBLANK(J71),I71,J71)</f>
        <v>2305.5127363429051</v>
      </c>
      <c r="L71" s="190" t="s">
        <v>48</v>
      </c>
      <c r="N71" s="187" t="str">
        <v>Manager - tarief per uur</v>
      </c>
      <c r="O71" s="69" t="s">
        <v>51</v>
      </c>
      <c r="P71" s="62"/>
      <c r="Q71" s="178" cm="1">
        <f t="array" ref="Q71">IF(ISBLANK(P71),INDEX(CultCost01[[#All],[Geen]:[Waarde MIN]],_xlfn.XMATCH('SCENARIO 2 - Beste geval'!N71,CultCost01[[#All],[Gewasverzorging]]),_xlfn.XMATCH('SCENARIO 2 - Beste geval'!O71,CultCost01[[#Headers],[Geen]:[Waarde MIN]])),P71)</f>
        <v>55</v>
      </c>
      <c r="R71" s="185" t="s">
        <v>57</v>
      </c>
    </row>
    <row r="72" spans="2:22" ht="18" thickTop="1" thickBot="1" x14ac:dyDescent="0.25">
      <c r="H72" s="189" t="s">
        <v>62</v>
      </c>
      <c r="I72" s="176">
        <f>(K66-K70)/K68</f>
        <v>0</v>
      </c>
      <c r="J72" s="62"/>
      <c r="K72" s="176">
        <f>IF(ISBLANK(J72),I72,J72)</f>
        <v>0</v>
      </c>
      <c r="L72" s="190" t="s">
        <v>48</v>
      </c>
      <c r="N72" s="189" t="str">
        <v>Gewasverzorging - eigen arbeidsuren</v>
      </c>
      <c r="O72" s="55">
        <f>SUM(Q68*Q69,Q70*Q71)</f>
        <v>127.5</v>
      </c>
      <c r="P72" s="62"/>
      <c r="Q72" s="176">
        <f>IF(ISBLANK(P72),O72,P72)</f>
        <v>127.5</v>
      </c>
      <c r="R72" s="190" t="s">
        <v>48</v>
      </c>
      <c r="V72" s="28"/>
    </row>
    <row r="73" spans="2:22" ht="18" thickTop="1" thickBot="1" x14ac:dyDescent="0.25">
      <c r="H73" s="79"/>
      <c r="I73" s="171"/>
      <c r="J73" s="171"/>
      <c r="K73" s="56"/>
      <c r="L73" s="80"/>
      <c r="N73" s="187" t="str">
        <v>Gewasverzorging - uren inhuur derden</v>
      </c>
      <c r="O73" s="69" t="s">
        <v>63</v>
      </c>
      <c r="P73" s="62"/>
      <c r="Q73" s="178" cm="1">
        <f t="array" ref="Q73">IF(ISBLANK(P73),INDEX(CultCost01[[#All],[Geen]:[Waarde MIN]],_xlfn.XMATCH('SCENARIO 2 - Beste geval'!N73,CultCost01[[#All],[Gewasverzorging]]),_xlfn.XMATCH('SCENARIO 2 - Beste geval'!O73,CultCost01[[#Headers],[Geen]:[Waarde MIN]])),P73)</f>
        <v>0</v>
      </c>
      <c r="R73" s="185" t="s">
        <v>55</v>
      </c>
    </row>
    <row r="74" spans="2:22" ht="18" thickTop="1" thickBot="1" x14ac:dyDescent="0.25">
      <c r="H74" s="109" t="s">
        <v>64</v>
      </c>
      <c r="I74" s="90" t="s">
        <v>25</v>
      </c>
      <c r="J74" s="92" t="s">
        <v>26</v>
      </c>
      <c r="K74" s="65">
        <f>SUM(K77,K80,K83,K86,K87,K88,K89,K90,K91)</f>
        <v>3850</v>
      </c>
      <c r="L74" s="184" t="s">
        <v>48</v>
      </c>
      <c r="N74" s="187" t="str">
        <v>Gewasverzorging - tarief inhuur derden</v>
      </c>
      <c r="O74" s="69" t="s">
        <v>63</v>
      </c>
      <c r="P74" s="62"/>
      <c r="Q74" s="178" cm="1">
        <f t="array" ref="Q74">IF(ISBLANK(P74),INDEX(CultCost01[[#All],[Geen]:[Waarde MIN]],_xlfn.XMATCH('SCENARIO 2 - Beste geval'!N74,CultCost01[[#All],[Gewasverzorging]]),_xlfn.XMATCH('SCENARIO 2 - Beste geval'!O74,CultCost01[[#Headers],[Geen]:[Waarde MIN]])),P74)</f>
        <v>0</v>
      </c>
      <c r="R74" s="185" t="s">
        <v>57</v>
      </c>
    </row>
    <row r="75" spans="2:22" ht="18" thickTop="1" thickBot="1" x14ac:dyDescent="0.25">
      <c r="H75" s="187" t="str" cm="1">
        <f t="array" ref="H75:H91">CultInvest01[Teelt - Investeringen perceel]</f>
        <v>Grondverzet - uren per hectare</v>
      </c>
      <c r="I75" s="69" t="s">
        <v>51</v>
      </c>
      <c r="J75" s="62"/>
      <c r="K75" s="178" cm="1">
        <f t="array" ref="K75">IF(ISBLANK(J75),INDEX(CultInvest01[[#All],[Geen]:[Waarde MIN]],_xlfn.XMATCH('SCENARIO 2 - Beste geval'!H75,CultInvest01[[#All],[Teelt - Investeringen perceel]]),_xlfn.XMATCH('SCENARIO 2 - Beste geval'!I75,CultInvest01[[#Headers],[Geen]:[Waarde MIN]])),J75)</f>
        <v>20</v>
      </c>
      <c r="L75" s="179" t="s">
        <v>55</v>
      </c>
      <c r="N75" s="189" t="str">
        <v>Gewasverzorging - inhuur derden</v>
      </c>
      <c r="O75" s="171">
        <f>Q73*Q74</f>
        <v>0</v>
      </c>
      <c r="P75" s="62"/>
      <c r="Q75" s="176">
        <f>IF(ISBLANK(P75),O75,P75)</f>
        <v>0</v>
      </c>
      <c r="R75" s="190" t="s">
        <v>48</v>
      </c>
    </row>
    <row r="76" spans="2:22" ht="18" thickTop="1" thickBot="1" x14ac:dyDescent="0.25">
      <c r="H76" s="187" t="str">
        <v>Grondverzet - prijs per uur</v>
      </c>
      <c r="I76" s="69" t="s">
        <v>51</v>
      </c>
      <c r="J76" s="62"/>
      <c r="K76" s="178" cm="1">
        <f t="array" ref="K76">IF(ISBLANK(J76),INDEX(CultInvest01[[#All],[Geen]:[Waarde MIN]],_xlfn.XMATCH('SCENARIO 2 - Beste geval'!H76,CultInvest01[[#All],[Teelt - Investeringen perceel]]),_xlfn.XMATCH('SCENARIO 2 - Beste geval'!I76,CultInvest01[[#Headers],[Geen]:[Waarde MIN]])),J76)</f>
        <v>75</v>
      </c>
      <c r="L76" s="179" t="s">
        <v>57</v>
      </c>
      <c r="N76" s="79"/>
      <c r="O76" s="171"/>
      <c r="P76" s="171"/>
      <c r="Q76" s="171"/>
      <c r="R76" s="80"/>
    </row>
    <row r="77" spans="2:22" ht="18" thickTop="1" thickBot="1" x14ac:dyDescent="0.25">
      <c r="H77" s="189" t="str">
        <v>Grondverzet - totaal</v>
      </c>
      <c r="I77" s="55">
        <f>K75*K76</f>
        <v>1500</v>
      </c>
      <c r="J77" s="62"/>
      <c r="K77" s="176">
        <f>IF(ISBLANK(J77),I77,J77)</f>
        <v>1500</v>
      </c>
      <c r="L77" s="190" t="s">
        <v>48</v>
      </c>
      <c r="N77" s="109" t="str" cm="1">
        <f t="array" ref="N77:N80">CultCost02[[#All],[Energieverbruik en water]]</f>
        <v>Energieverbruik en water</v>
      </c>
      <c r="O77" s="90" t="s">
        <v>25</v>
      </c>
      <c r="P77" s="92" t="s">
        <v>26</v>
      </c>
      <c r="Q77" s="65">
        <f>SUM(Q78:Q80)</f>
        <v>30</v>
      </c>
      <c r="R77" s="184" t="s">
        <v>48</v>
      </c>
    </row>
    <row r="78" spans="2:22" ht="18" thickTop="1" thickBot="1" x14ac:dyDescent="0.25">
      <c r="H78" s="187" t="str">
        <v>Grondtoevoer - kuub per hectare</v>
      </c>
      <c r="I78" s="69" t="s">
        <v>51</v>
      </c>
      <c r="J78" s="62"/>
      <c r="K78" s="178" cm="1">
        <f t="array" ref="K78">IF(ISBLANK(J78),INDEX(CultInvest01[[#All],[Geen]:[Waarde MIN]],_xlfn.XMATCH('SCENARIO 2 - Beste geval'!H78,CultInvest01[[#All],[Teelt - Investeringen perceel]]),_xlfn.XMATCH('SCENARIO 2 - Beste geval'!I78,CultInvest01[[#Headers],[Geen]:[Waarde MIN]])),J78)</f>
        <v>50</v>
      </c>
      <c r="L78" s="185" t="s">
        <v>65</v>
      </c>
      <c r="N78" s="189" t="str">
        <v>Elektraverbruik irrigatie en peilbeheer</v>
      </c>
      <c r="O78" s="69" t="s">
        <v>51</v>
      </c>
      <c r="P78" s="62"/>
      <c r="Q78" s="176" cm="1">
        <f t="array" ref="Q78">IF(ISBLANK(P78),INDEX(CultCost02[[#All],[Geen]:[Waarde MIN]],_xlfn.XMATCH('SCENARIO 2 - Beste geval'!N78,CultCost02[[#All],[Energieverbruik en water]]),_xlfn.XMATCH('SCENARIO 2 - Beste geval'!O78,CultCost02[[#Headers],[Geen]:[Waarde MIN]])),P78)</f>
        <v>10</v>
      </c>
      <c r="R78" s="190" t="s">
        <v>48</v>
      </c>
    </row>
    <row r="79" spans="2:22" ht="18" thickTop="1" thickBot="1" x14ac:dyDescent="0.25">
      <c r="H79" s="187" t="str">
        <v>Grondtoevoer - prijs per kuub</v>
      </c>
      <c r="I79" s="69" t="s">
        <v>51</v>
      </c>
      <c r="J79" s="62"/>
      <c r="K79" s="178" cm="1">
        <f t="array" ref="K79">IF(ISBLANK(J79),INDEX(CultInvest01[[#All],[Geen]:[Waarde MIN]],_xlfn.XMATCH('SCENARIO 2 - Beste geval'!H79,CultInvest01[[#All],[Teelt - Investeringen perceel]]),_xlfn.XMATCH('SCENARIO 2 - Beste geval'!I79,CultInvest01[[#Headers],[Geen]:[Waarde MIN]])),J79)</f>
        <v>2</v>
      </c>
      <c r="L79" s="185" t="s">
        <v>66</v>
      </c>
      <c r="N79" s="189" t="str">
        <v xml:space="preserve">Elektraverbruik overig </v>
      </c>
      <c r="O79" s="69" t="s">
        <v>51</v>
      </c>
      <c r="P79" s="62"/>
      <c r="Q79" s="176" cm="1">
        <f t="array" ref="Q79">IF(ISBLANK(P79),INDEX(CultCost02[[#All],[Geen]:[Waarde MIN]],_xlfn.XMATCH('SCENARIO 2 - Beste geval'!N79,CultCost02[[#All],[Energieverbruik en water]]),_xlfn.XMATCH('SCENARIO 2 - Beste geval'!O79,CultCost02[[#Headers],[Geen]:[Waarde MIN]])),P79)</f>
        <v>10</v>
      </c>
      <c r="R79" s="190" t="s">
        <v>48</v>
      </c>
    </row>
    <row r="80" spans="2:22" ht="18" thickTop="1" thickBot="1" x14ac:dyDescent="0.25">
      <c r="H80" s="189" t="str">
        <v>Grondtoevoer - totaal</v>
      </c>
      <c r="I80" s="55">
        <f>K78*K79</f>
        <v>100</v>
      </c>
      <c r="J80" s="62"/>
      <c r="K80" s="176">
        <f>IF(ISBLANK(J80),I80,J80)</f>
        <v>100</v>
      </c>
      <c r="L80" s="190" t="s">
        <v>48</v>
      </c>
      <c r="N80" s="189" t="str">
        <v>Heffingen waterverbruik</v>
      </c>
      <c r="O80" s="69" t="s">
        <v>51</v>
      </c>
      <c r="P80" s="62"/>
      <c r="Q80" s="176" cm="1">
        <f t="array" ref="Q80">IF(ISBLANK(P80),INDEX(CultCost02[[#All],[Geen]:[Waarde MIN]],_xlfn.XMATCH('SCENARIO 2 - Beste geval'!N80,CultCost02[[#All],[Energieverbruik en water]]),_xlfn.XMATCH('SCENARIO 2 - Beste geval'!O80,CultCost02[[#Headers],[Geen]:[Waarde MIN]])),P80)</f>
        <v>10</v>
      </c>
      <c r="R80" s="190" t="s">
        <v>48</v>
      </c>
    </row>
    <row r="81" spans="8:18" ht="18" thickTop="1" thickBot="1" x14ac:dyDescent="0.25">
      <c r="H81" s="187" t="str">
        <v>Watertoevoer - meter leiding per hectare</v>
      </c>
      <c r="I81" s="69" t="s">
        <v>51</v>
      </c>
      <c r="J81" s="62"/>
      <c r="K81" s="178" cm="1">
        <f t="array" ref="K81">IF(ISBLANK(J81),INDEX(CultInvest01[[#All],[Geen]:[Waarde MIN]],_xlfn.XMATCH('SCENARIO 2 - Beste geval'!H81,CultInvest01[[#All],[Teelt - Investeringen perceel]]),_xlfn.XMATCH('SCENARIO 2 - Beste geval'!I81,CultInvest01[[#Headers],[Geen]:[Waarde MIN]])),J81)</f>
        <v>5</v>
      </c>
      <c r="L81" s="185" t="s">
        <v>888</v>
      </c>
      <c r="N81" s="79"/>
      <c r="O81" s="171"/>
      <c r="P81" s="171"/>
      <c r="Q81" s="171"/>
      <c r="R81" s="80"/>
    </row>
    <row r="82" spans="8:18" ht="18" thickTop="1" thickBot="1" x14ac:dyDescent="0.25">
      <c r="H82" s="187" t="str">
        <v>Watertoevoer - prijs per meter leiding</v>
      </c>
      <c r="I82" s="69" t="s">
        <v>51</v>
      </c>
      <c r="J82" s="62"/>
      <c r="K82" s="178" cm="1">
        <f t="array" ref="K82">IF(ISBLANK(J82),INDEX(CultInvest01[[#All],[Geen]:[Waarde MIN]],_xlfn.XMATCH('SCENARIO 2 - Beste geval'!H82,CultInvest01[[#All],[Teelt - Investeringen perceel]]),_xlfn.XMATCH('SCENARIO 2 - Beste geval'!I82,CultInvest01[[#Headers],[Geen]:[Waarde MIN]])),J82)</f>
        <v>5</v>
      </c>
      <c r="L82" s="185" t="s">
        <v>889</v>
      </c>
      <c r="N82" s="109" t="str" cm="1">
        <f t="array" ref="N82:N84">CultCost03[[#All],[Belastingen en verzekeringen]]</f>
        <v>Belastingen en verzekeringen</v>
      </c>
      <c r="O82" s="90" t="s">
        <v>25</v>
      </c>
      <c r="P82" s="92" t="s">
        <v>26</v>
      </c>
      <c r="Q82" s="123">
        <f>SUM(Q83:Q84)</f>
        <v>27.81</v>
      </c>
      <c r="R82" s="184" t="s">
        <v>48</v>
      </c>
    </row>
    <row r="83" spans="8:18" ht="18" thickTop="1" thickBot="1" x14ac:dyDescent="0.25">
      <c r="H83" s="207" t="str">
        <v>Watertoevoer - totaal</v>
      </c>
      <c r="I83" s="55">
        <f>K81*K82</f>
        <v>25</v>
      </c>
      <c r="J83" s="62"/>
      <c r="K83" s="176">
        <f>IF(ISBLANK(J83),I83,J83)</f>
        <v>25</v>
      </c>
      <c r="L83" s="190" t="s">
        <v>48</v>
      </c>
      <c r="N83" s="189" t="str">
        <v>Waterschapsbelasting</v>
      </c>
      <c r="O83" s="69" t="s">
        <v>51</v>
      </c>
      <c r="P83" s="62"/>
      <c r="Q83" s="194" cm="1">
        <f t="array" ref="Q83">IF(ISBLANK(P83),INDEX(CultCost03[[#All],[Geen]:[Waarde MIN]],_xlfn.XMATCH('SCENARIO 2 - Beste geval'!N83,CultCost03[[#All],[Belastingen en verzekeringen]]),_xlfn.XMATCH('SCENARIO 2 - Beste geval'!O83,CultCost03[[#Headers],[Geen]:[Waarde MIN]])),P83)</f>
        <v>2.81</v>
      </c>
      <c r="R83" s="190" t="s">
        <v>48</v>
      </c>
    </row>
    <row r="84" spans="8:18" ht="18" thickTop="1" thickBot="1" x14ac:dyDescent="0.25">
      <c r="H84" s="187" t="str">
        <v>Waterafvoer - meter leiding per hectare</v>
      </c>
      <c r="I84" s="69" t="s">
        <v>51</v>
      </c>
      <c r="J84" s="62"/>
      <c r="K84" s="178" cm="1">
        <f t="array" ref="K84">IF(ISBLANK(J84),INDEX(CultInvest01[[#All],[Geen]:[Waarde MIN]],_xlfn.XMATCH('SCENARIO 2 - Beste geval'!H84,CultInvest01[[#All],[Teelt - Investeringen perceel]]),_xlfn.XMATCH('SCENARIO 2 - Beste geval'!I84,CultInvest01[[#Headers],[Geen]:[Waarde MIN]])),J84)</f>
        <v>5</v>
      </c>
      <c r="L84" s="185" t="s">
        <v>888</v>
      </c>
      <c r="N84" s="189" t="str">
        <v>Verzekeringen</v>
      </c>
      <c r="O84" s="69" t="s">
        <v>51</v>
      </c>
      <c r="P84" s="62"/>
      <c r="Q84" s="195" cm="1">
        <f t="array" ref="Q84">IF(ISBLANK(P84),INDEX(CultCost03[[#All],[Geen]:[Waarde MIN]],_xlfn.XMATCH('SCENARIO 2 - Beste geval'!N84,CultCost03[[#All],[Belastingen en verzekeringen]]),_xlfn.XMATCH('SCENARIO 2 - Beste geval'!O84,CultCost03[[#Headers],[Geen]:[Waarde MIN]])),P84)</f>
        <v>25</v>
      </c>
      <c r="R84" s="190" t="s">
        <v>48</v>
      </c>
    </row>
    <row r="85" spans="8:18" ht="18" thickTop="1" thickBot="1" x14ac:dyDescent="0.25">
      <c r="H85" s="187" t="str">
        <v>Waterafvoer - prijs per meter leiding</v>
      </c>
      <c r="I85" s="69" t="s">
        <v>51</v>
      </c>
      <c r="J85" s="62"/>
      <c r="K85" s="178" cm="1">
        <f t="array" ref="K85">IF(ISBLANK(J85),INDEX(CultInvest01[[#All],[Geen]:[Waarde MIN]],_xlfn.XMATCH('SCENARIO 2 - Beste geval'!H85,CultInvest01[[#All],[Teelt - Investeringen perceel]]),_xlfn.XMATCH('SCENARIO 2 - Beste geval'!I85,CultInvest01[[#Headers],[Geen]:[Waarde MIN]])),J85)</f>
        <v>5</v>
      </c>
      <c r="L85" s="185" t="s">
        <v>889</v>
      </c>
      <c r="N85" s="79"/>
      <c r="O85" s="171"/>
      <c r="P85" s="171"/>
      <c r="Q85" s="171"/>
      <c r="R85" s="80"/>
    </row>
    <row r="86" spans="8:18" ht="18" thickTop="1" thickBot="1" x14ac:dyDescent="0.25">
      <c r="H86" s="189" t="str">
        <v>Waterafvoer - totaal</v>
      </c>
      <c r="I86" s="55">
        <f>K84*K85</f>
        <v>25</v>
      </c>
      <c r="J86" s="62"/>
      <c r="K86" s="176">
        <f>IF(ISBLANK(J86),I86,J86)</f>
        <v>25</v>
      </c>
      <c r="L86" s="190" t="s">
        <v>48</v>
      </c>
      <c r="N86" s="109" t="str" cm="1">
        <f t="array" ref="N86:N93">CultCost04[[#All],[Onderhoud]]</f>
        <v>Onderhoud</v>
      </c>
      <c r="O86" s="90" t="s">
        <v>25</v>
      </c>
      <c r="P86" s="92" t="s">
        <v>26</v>
      </c>
      <c r="Q86" s="65">
        <f>SUM(Q87:Q93)</f>
        <v>107.875</v>
      </c>
      <c r="R86" s="184" t="s">
        <v>48</v>
      </c>
    </row>
    <row r="87" spans="8:18" ht="18" thickTop="1" thickBot="1" x14ac:dyDescent="0.25">
      <c r="H87" s="189" t="str">
        <v>Pompen - aanschaf incl. stroomvoorziening</v>
      </c>
      <c r="I87" s="69" t="s">
        <v>51</v>
      </c>
      <c r="J87" s="62"/>
      <c r="K87" s="176" cm="1">
        <f t="array" ref="K87">IF(ISBLANK(J87),INDEX(CultInvest01[[#All],[Geen]:[Waarde MIN]],_xlfn.XMATCH('SCENARIO 2 - Beste geval'!H87,CultInvest01[[#All],[Teelt - Investeringen perceel]]),_xlfn.XMATCH('SCENARIO 2 - Beste geval'!I87,CultInvest01[[#Headers],[Geen]:[Waarde MIN]])),J87)</f>
        <v>1500</v>
      </c>
      <c r="L87" s="190" t="s">
        <v>48</v>
      </c>
      <c r="N87" s="79" t="str">
        <v>Grondverzet - totaal</v>
      </c>
      <c r="O87" s="69" t="s">
        <v>51</v>
      </c>
      <c r="P87" s="62"/>
      <c r="Q87" s="56" cm="1">
        <f t="array" ref="Q87">IF(ISBLANK(P87),(SUM(K77,K80)*INDEX(CultCost04[[#All],[Geen]:[Waarde MIN]],_xlfn.XMATCH('SCENARIO 2 - Beste geval'!N87,CultCost04[[#All],[Onderhoud]]),_xlfn.XMATCH('SCENARIO 2 - Beste geval'!O87,CultCost04[[#Headers],[Geen]:[Waarde MIN]]))),P87)</f>
        <v>16</v>
      </c>
      <c r="R87" s="80" t="s">
        <v>48</v>
      </c>
    </row>
    <row r="88" spans="8:18" ht="18" thickTop="1" thickBot="1" x14ac:dyDescent="0.25">
      <c r="H88" s="189" t="str">
        <v>Waterpeilbeheersing (schuiven, slibkisten, etc.)</v>
      </c>
      <c r="I88" s="69" t="s">
        <v>51</v>
      </c>
      <c r="J88" s="62"/>
      <c r="K88" s="176" cm="1">
        <f t="array" ref="K88">IF(ISBLANK(J88),INDEX(CultInvest01[[#All],[Geen]:[Waarde MIN]],_xlfn.XMATCH('SCENARIO 2 - Beste geval'!H88,CultInvest01[[#All],[Teelt - Investeringen perceel]]),_xlfn.XMATCH('SCENARIO 2 - Beste geval'!I88,CultInvest01[[#Headers],[Geen]:[Waarde MIN]])),J88)</f>
        <v>250</v>
      </c>
      <c r="L88" s="190" t="s">
        <v>48</v>
      </c>
      <c r="N88" s="79" t="str">
        <v>Watertoevoer - totaal</v>
      </c>
      <c r="O88" s="69" t="s">
        <v>51</v>
      </c>
      <c r="P88" s="62"/>
      <c r="Q88" s="55" cm="1">
        <f t="array" ref="Q88">IF(ISBLANK(P88),(K83*INDEX(CultCost04[[#All],[Geen]:[Waarde MIN]],_xlfn.XMATCH('SCENARIO 2 - Beste geval'!N88,CultCost04[[#All],[Onderhoud]]),_xlfn.XMATCH('SCENARIO 2 - Beste geval'!O88,CultCost04[[#Headers],[Geen]:[Waarde MIN]]))),P88)</f>
        <v>0.625</v>
      </c>
      <c r="R88" s="80" t="s">
        <v>48</v>
      </c>
    </row>
    <row r="89" spans="8:18" s="28" customFormat="1" ht="18" thickTop="1" thickBot="1" x14ac:dyDescent="0.25">
      <c r="H89" s="79" t="str">
        <v>Afrastering &amp; vraatbescherming</v>
      </c>
      <c r="I89" s="69" t="s">
        <v>51</v>
      </c>
      <c r="J89" s="62"/>
      <c r="K89" s="176" cm="1">
        <f t="array" ref="K89">IF(ISBLANK(J89),INDEX(CultInvest01[[#All],[Geen]:[Waarde MIN]],_xlfn.XMATCH('SCENARIO 2 - Beste geval'!H89,CultInvest01[[#All],[Teelt - Investeringen perceel]]),_xlfn.XMATCH('SCENARIO 2 - Beste geval'!I89,CultInvest01[[#Headers],[Geen]:[Waarde MIN]])),J89)</f>
        <v>250</v>
      </c>
      <c r="L89" s="190" t="s">
        <v>48</v>
      </c>
      <c r="N89" s="79" t="str">
        <v>Waterafvoer - totaal</v>
      </c>
      <c r="O89" s="69" t="s">
        <v>51</v>
      </c>
      <c r="P89" s="62"/>
      <c r="Q89" s="55" cm="1">
        <f t="array" ref="Q89">IF(ISBLANK(P89),(K86*INDEX(CultCost04[[#All],[Geen]:[Waarde MIN]],_xlfn.XMATCH('SCENARIO 2 - Beste geval'!N89,CultCost04[[#All],[Onderhoud]]),_xlfn.XMATCH('SCENARIO 2 - Beste geval'!O89,CultCost04[[#Headers],[Geen]:[Waarde MIN]]))),P89)</f>
        <v>0.625</v>
      </c>
      <c r="R89" s="80" t="s">
        <v>48</v>
      </c>
    </row>
    <row r="90" spans="8:18" s="28" customFormat="1" ht="18" thickTop="1" thickBot="1" x14ac:dyDescent="0.25">
      <c r="H90" s="79" t="str">
        <v>Overige kosten (bijv. folie)</v>
      </c>
      <c r="I90" s="69" t="s">
        <v>51</v>
      </c>
      <c r="J90" s="62"/>
      <c r="K90" s="176" cm="1">
        <f t="array" ref="K90">IF(ISBLANK(J90),INDEX(CultInvest01[[#All],[Geen]:[Waarde MIN]],_xlfn.XMATCH('SCENARIO 2 - Beste geval'!H90,CultInvest01[[#All],[Teelt - Investeringen perceel]]),_xlfn.XMATCH('SCENARIO 2 - Beste geval'!I90,CultInvest01[[#Headers],[Geen]:[Waarde MIN]])),J90)</f>
        <v>125</v>
      </c>
      <c r="L90" s="190" t="s">
        <v>48</v>
      </c>
      <c r="N90" s="79" t="str">
        <v>Pompen - aanschaf incl. stroomvoorziening</v>
      </c>
      <c r="O90" s="69" t="s">
        <v>51</v>
      </c>
      <c r="P90" s="62"/>
      <c r="Q90" s="55" cm="1">
        <f t="array" ref="Q90">IF(ISBLANK(P90),(K87*INDEX(CultCost04[[#All],[Geen]:[Waarde MIN]],_xlfn.XMATCH('SCENARIO 2 - Beste geval'!N90,CultCost04[[#All],[Onderhoud]]),_xlfn.XMATCH('SCENARIO 2 - Beste geval'!O90,CultCost04[[#Headers],[Geen]:[Waarde MIN]]))),P90)</f>
        <v>75</v>
      </c>
      <c r="R90" s="80" t="s">
        <v>48</v>
      </c>
    </row>
    <row r="91" spans="8:18" s="28" customFormat="1" ht="18" thickTop="1" thickBot="1" x14ac:dyDescent="0.25">
      <c r="H91" s="79" t="str">
        <v>Vergunningsaanvraag</v>
      </c>
      <c r="I91" s="69" t="s">
        <v>51</v>
      </c>
      <c r="J91" s="62"/>
      <c r="K91" s="176" cm="1">
        <f t="array" ref="K91">IF(ISBLANK(J91),INDEX(CultInvest01[[#All],[Geen]:[Waarde MIN]],_xlfn.XMATCH('SCENARIO 2 - Beste geval'!H91,CultInvest01[[#All],[Teelt - Investeringen perceel]]),_xlfn.XMATCH('SCENARIO 2 - Beste geval'!I91,CultInvest01[[#Headers],[Geen]:[Waarde MIN]])),J91)</f>
        <v>75</v>
      </c>
      <c r="L91" s="190" t="s">
        <v>48</v>
      </c>
      <c r="N91" s="79" t="str">
        <v>Waterpeilbeheersing (schuiven, slibkisten, etc.)</v>
      </c>
      <c r="O91" s="69" t="s">
        <v>51</v>
      </c>
      <c r="P91" s="62"/>
      <c r="Q91" s="55" cm="1">
        <f t="array" ref="Q91">IF(ISBLANK(P91),(K88*INDEX(CultCost04[[#All],[Geen]:[Waarde MIN]],_xlfn.XMATCH('SCENARIO 2 - Beste geval'!N91,CultCost04[[#All],[Onderhoud]]),_xlfn.XMATCH('SCENARIO 2 - Beste geval'!O91,CultCost04[[#Headers],[Geen]:[Waarde MIN]]))),P91)</f>
        <v>6.25</v>
      </c>
      <c r="R91" s="80" t="s">
        <v>48</v>
      </c>
    </row>
    <row r="92" spans="8:18" s="28" customFormat="1" ht="18" thickTop="1" thickBot="1" x14ac:dyDescent="0.25">
      <c r="H92" s="79"/>
      <c r="I92" s="56"/>
      <c r="J92" s="176"/>
      <c r="K92" s="176"/>
      <c r="L92" s="80"/>
      <c r="N92" s="79" t="str">
        <v>Afrastering &amp; vraatbescherming</v>
      </c>
      <c r="O92" s="69" t="s">
        <v>51</v>
      </c>
      <c r="P92" s="62"/>
      <c r="Q92" s="55" cm="1">
        <f t="array" ref="Q92">IF(ISBLANK(P92),(K89*INDEX(CultCost04[[#All],[Geen]:[Waarde MIN]],_xlfn.XMATCH('SCENARIO 2 - Beste geval'!N92,CultCost04[[#All],[Onderhoud]]),_xlfn.XMATCH('SCENARIO 2 - Beste geval'!O92,CultCost04[[#Headers],[Geen]:[Waarde MIN]]))),P92)</f>
        <v>6.25</v>
      </c>
      <c r="R92" s="80" t="s">
        <v>48</v>
      </c>
    </row>
    <row r="93" spans="8:18" s="28" customFormat="1" ht="18" thickTop="1" thickBot="1" x14ac:dyDescent="0.25">
      <c r="H93" s="109" t="s">
        <v>67</v>
      </c>
      <c r="I93" s="90" t="s">
        <v>25</v>
      </c>
      <c r="J93" s="92" t="s">
        <v>26</v>
      </c>
      <c r="K93" s="54">
        <f>SUM(K94,K95,K97,K98,K101,K102,K103)</f>
        <v>3765</v>
      </c>
      <c r="L93" s="184" t="s">
        <v>48</v>
      </c>
      <c r="N93" s="79" t="str">
        <v>Overige kosten (bijv. folie)</v>
      </c>
      <c r="O93" s="69" t="s">
        <v>51</v>
      </c>
      <c r="P93" s="62"/>
      <c r="Q93" s="55" cm="1">
        <f t="array" ref="Q93">IF(ISBLANK(P93),(K90*INDEX(CultCost04[[#All],[Geen]:[Waarde MIN]],_xlfn.XMATCH('SCENARIO 2 - Beste geval'!N93,CultCost04[[#All],[Onderhoud]]),_xlfn.XMATCH('SCENARIO 2 - Beste geval'!O93,CultCost04[[#Headers],[Geen]:[Waarde MIN]]))),P93)</f>
        <v>3.125</v>
      </c>
      <c r="R93" s="80" t="s">
        <v>48</v>
      </c>
    </row>
    <row r="94" spans="8:18" s="28" customFormat="1" ht="18" thickTop="1" thickBot="1" x14ac:dyDescent="0.25">
      <c r="H94" s="189" t="str" cm="1">
        <f t="array" ref="H94:H103">CultInvest02[Planten / Zaaien]</f>
        <v>Klaarmaken grond - grondbewerking</v>
      </c>
      <c r="I94" s="69" t="s">
        <v>51</v>
      </c>
      <c r="J94" s="62"/>
      <c r="K94" s="176" cm="1">
        <f t="array" ref="K94">IF(ISBLANK(J94),INDEX(CultInvest02[[#Headers],[#Data],[Geen]:[Waarde MIN]],_xlfn.XMATCH('SCENARIO 2 - Beste geval'!H94,CultInvest02[[#Headers],[#Data],[Planten / Zaaien]]),_xlfn.XMATCH('SCENARIO 2 - Beste geval'!I94,CultInvest02[[#Headers],[Geen]:[Waarde MIN]])),J94)</f>
        <v>65</v>
      </c>
      <c r="L94" s="190" t="s">
        <v>48</v>
      </c>
      <c r="N94" s="79"/>
      <c r="O94" s="171"/>
      <c r="P94" s="171"/>
      <c r="Q94" s="171"/>
      <c r="R94" s="80"/>
    </row>
    <row r="95" spans="8:18" s="28" customFormat="1" ht="18" thickTop="1" thickBot="1" x14ac:dyDescent="0.25">
      <c r="H95" s="189" t="str">
        <v>Klaarmaken grond - bodemverbeteraars/bemesting</v>
      </c>
      <c r="I95" s="69" t="s">
        <v>63</v>
      </c>
      <c r="J95" s="62"/>
      <c r="K95" s="176" cm="1">
        <f t="array" ref="K95">IF(ISBLANK(J95),INDEX(CultInvest02[[#Headers],[#Data],[Geen]:[Waarde MIN]],_xlfn.XMATCH('SCENARIO 2 - Beste geval'!H95,CultInvest02[[#Headers],[#Data],[Planten / Zaaien]]),_xlfn.XMATCH('SCENARIO 2 - Beste geval'!I95,CultInvest02[[#Headers],[Geen]:[Waarde MIN]])),J95)</f>
        <v>0</v>
      </c>
      <c r="L95" s="190" t="s">
        <v>48</v>
      </c>
      <c r="N95" s="109" t="str" cm="1">
        <f t="array" ref="N95:N100">CultCost05[[#All],[Afschrijving &amp; aflossing teeltinvesteringen]]</f>
        <v>Afschrijving &amp; aflossing teeltinvesteringen</v>
      </c>
      <c r="O95" s="90" t="s">
        <v>25</v>
      </c>
      <c r="P95" s="92" t="s">
        <v>26</v>
      </c>
      <c r="Q95" s="65">
        <f>SUM(Q98,Q100)</f>
        <v>654.59774219528447</v>
      </c>
      <c r="R95" s="184" t="s">
        <v>48</v>
      </c>
    </row>
    <row r="96" spans="8:18" s="28" customFormat="1" ht="18" thickTop="1" thickBot="1" x14ac:dyDescent="0.25">
      <c r="H96" s="187" t="str">
        <v>Plantmateriaal - prijs per m2</v>
      </c>
      <c r="I96" s="69" t="s">
        <v>51</v>
      </c>
      <c r="J96" s="62"/>
      <c r="K96" s="181" cm="1">
        <f t="array" ref="K96">IF(ISBLANK(J96),INDEX(CultInvest02[[#Headers],[#Data],[Geen]:[Waarde MIN]],_xlfn.XMATCH('SCENARIO 2 - Beste geval'!H96,CultInvest02[[#Headers],[#Data],[Planten / Zaaien]]),_xlfn.XMATCH('SCENARIO 2 - Beste geval'!I96,CultInvest02[[#Headers],[Geen]:[Waarde MIN]])),J96)</f>
        <v>0.3</v>
      </c>
      <c r="L96" s="185" t="s">
        <v>68</v>
      </c>
      <c r="N96" s="79" t="str">
        <v>Rentepercentage (wel/geen lening)</v>
      </c>
      <c r="O96" s="69" t="s">
        <v>51</v>
      </c>
      <c r="P96" s="70"/>
      <c r="Q96" s="66" cm="1">
        <f t="array" ref="Q96">IF(ISBLANK(P96),INDEX(CultCost05[[#All],[Geen]:[Waarde MIN]],_xlfn.XMATCH('SCENARIO 2 - Beste geval'!N96,CultCost05[[#All],[Afschrijving &amp; aflossing teeltinvesteringen]]),_xlfn.XMATCH('SCENARIO 2 - Beste geval'!O96,CultCost05[[#Headers],[Geen]:[Waarde MIN]])),P96)</f>
        <v>0.02</v>
      </c>
      <c r="R96" s="80"/>
    </row>
    <row r="97" spans="2:36" s="28" customFormat="1" ht="18" thickTop="1" thickBot="1" x14ac:dyDescent="0.25">
      <c r="H97" s="189" t="str">
        <v>Plantmateriaal - totaal</v>
      </c>
      <c r="I97" s="180">
        <f>K96*10000</f>
        <v>3000</v>
      </c>
      <c r="J97" s="62"/>
      <c r="K97" s="176">
        <f>IF(ISBLANK(J97),I97,J97)</f>
        <v>3000</v>
      </c>
      <c r="L97" s="190" t="s">
        <v>48</v>
      </c>
      <c r="N97" s="79" t="str">
        <v>Afschrijvingstermijn - Investeringen perceel</v>
      </c>
      <c r="O97" s="69" t="s">
        <v>54</v>
      </c>
      <c r="P97" s="62"/>
      <c r="Q97" s="56" cm="1">
        <f t="array" ref="Q97">IF(ISBLANK(P97),INDEX(CultCost05[[#All],[Geen]:[Waarde MIN]],_xlfn.XMATCH('SCENARIO 2 - Beste geval'!N97,CultCost05[[#All],[Afschrijving &amp; aflossing teeltinvesteringen]]),_xlfn.XMATCH('SCENARIO 2 - Beste geval'!O97,CultCost05[[#Headers],[Geen]:[Waarde MIN]])),P97)</f>
        <v>20</v>
      </c>
      <c r="R97" s="80" t="s">
        <v>59</v>
      </c>
    </row>
    <row r="98" spans="2:36" s="28" customFormat="1" ht="18" thickTop="1" thickBot="1" x14ac:dyDescent="0.25">
      <c r="H98" s="189" t="str">
        <v>Plantkosten - machine</v>
      </c>
      <c r="I98" s="69" t="s">
        <v>51</v>
      </c>
      <c r="J98" s="62"/>
      <c r="K98" s="176" cm="1">
        <f t="array" ref="K98">IF(ISBLANK(J98),INDEX(CultInvest02[[#Headers],[#Data],[Geen]:[Waarde MIN]],_xlfn.XMATCH('SCENARIO 2 - Beste geval'!H98,CultInvest02[[#Headers],[#Data],[Planten / Zaaien]]),_xlfn.XMATCH('SCENARIO 2 - Beste geval'!I98,CultInvest02[[#Headers],[Geen]:[Waarde MIN]])),J98)</f>
        <v>300</v>
      </c>
      <c r="L98" s="190" t="s">
        <v>48</v>
      </c>
      <c r="N98" s="79" t="str">
        <v>Teeltinvesteringen perceel - jaarlijkse afschrijving</v>
      </c>
      <c r="O98" s="56">
        <f>-PMT(Q96,Q97,K74)</f>
        <v>235.453364782368</v>
      </c>
      <c r="P98" s="62"/>
      <c r="Q98" s="176">
        <f>IF(ISBLANK(P98),O98,P98)</f>
        <v>235.453364782368</v>
      </c>
      <c r="R98" s="80" t="s">
        <v>48</v>
      </c>
      <c r="U98" s="38"/>
    </row>
    <row r="99" spans="2:36" s="28" customFormat="1" ht="18" thickTop="1" thickBot="1" x14ac:dyDescent="0.25">
      <c r="H99" s="187" t="str">
        <v>Plantkosten - uren per hectare</v>
      </c>
      <c r="I99" s="69" t="s">
        <v>51</v>
      </c>
      <c r="J99" s="62"/>
      <c r="K99" s="178" cm="1">
        <f t="array" ref="K99">IF(ISBLANK(J99),INDEX(CultInvest02[[#Headers],[#Data],[Geen]:[Waarde MIN]],_xlfn.XMATCH('SCENARIO 2 - Beste geval'!H99,CultInvest02[[#Headers],[#Data],[Planten / Zaaien]]),_xlfn.XMATCH('SCENARIO 2 - Beste geval'!I99,CultInvest02[[#Headers],[Geen]:[Waarde MIN]])),J99)</f>
        <v>20</v>
      </c>
      <c r="L99" s="185" t="s">
        <v>69</v>
      </c>
      <c r="N99" s="79" t="str">
        <v>Afschrijvingstermijn - Plant/zaaikosten</v>
      </c>
      <c r="O99" s="69" t="s">
        <v>54</v>
      </c>
      <c r="P99" s="62"/>
      <c r="Q99" s="56" cm="1">
        <f t="array" ref="Q99">IF(ISBLANK(P99),INDEX(CultCost05[[#All],[Geen]:[Waarde MIN]],_xlfn.XMATCH('SCENARIO 2 - Beste geval'!N99,CultCost05[[#All],[Afschrijving &amp; aflossing teeltinvesteringen]]),_xlfn.XMATCH('SCENARIO 2 - Beste geval'!O99,CultCost05[[#Headers],[Geen]:[Waarde MIN]])),P99)</f>
        <v>10</v>
      </c>
      <c r="R99" s="80" t="s">
        <v>59</v>
      </c>
    </row>
    <row r="100" spans="2:36" s="28" customFormat="1" ht="18" thickTop="1" thickBot="1" x14ac:dyDescent="0.25">
      <c r="H100" s="187" t="str">
        <v>Plantkosten - prijs per uur</v>
      </c>
      <c r="I100" s="69" t="s">
        <v>51</v>
      </c>
      <c r="J100" s="62"/>
      <c r="K100" s="178" cm="1">
        <f t="array" ref="K100">IF(ISBLANK(J100),INDEX(CultInvest02[[#Headers],[#Data],[Geen]:[Waarde MIN]],_xlfn.XMATCH('SCENARIO 2 - Beste geval'!H100,CultInvest02[[#Headers],[#Data],[Planten / Zaaien]]),_xlfn.XMATCH('SCENARIO 2 - Beste geval'!I100,CultInvest02[[#Headers],[Geen]:[Waarde MIN]])),J100)</f>
        <v>20</v>
      </c>
      <c r="L100" s="185" t="s">
        <v>57</v>
      </c>
      <c r="N100" s="79" t="str">
        <v>Plant/zaaikosten - jaarlijkse afschrijving</v>
      </c>
      <c r="O100" s="56">
        <f>-PMT(Q96,Q99,K93)</f>
        <v>419.14437741291647</v>
      </c>
      <c r="P100" s="62"/>
      <c r="Q100" s="176">
        <f>IF(ISBLANK(P100),O100,P100)</f>
        <v>419.14437741291647</v>
      </c>
      <c r="R100" s="80" t="s">
        <v>48</v>
      </c>
    </row>
    <row r="101" spans="2:36" s="28" customFormat="1" ht="18" thickTop="1" thickBot="1" x14ac:dyDescent="0.25">
      <c r="H101" s="189" t="str">
        <v>Plantkosten - arbeid totaal</v>
      </c>
      <c r="I101" s="56">
        <f>K99*K100</f>
        <v>400</v>
      </c>
      <c r="J101" s="62"/>
      <c r="K101" s="176">
        <f>IF(ISBLANK(J101),I101,J101)</f>
        <v>400</v>
      </c>
      <c r="L101" s="190" t="s">
        <v>48</v>
      </c>
      <c r="N101" s="79"/>
      <c r="O101" s="56"/>
      <c r="P101" s="176"/>
      <c r="Q101" s="176"/>
      <c r="R101" s="80"/>
    </row>
    <row r="102" spans="2:36" s="28" customFormat="1" ht="18" thickTop="1" thickBot="1" x14ac:dyDescent="0.25">
      <c r="H102" s="189" t="str">
        <v>Zaaigoed</v>
      </c>
      <c r="I102" s="69" t="s">
        <v>63</v>
      </c>
      <c r="J102" s="62"/>
      <c r="K102" s="176" cm="1">
        <f t="array" ref="K102">IF(ISBLANK(J102),INDEX(CultInvest02[[#Headers],[#Data],[Geen]:[Waarde MIN]],_xlfn.XMATCH('SCENARIO 2 - Beste geval'!H102,CultInvest02[[#Headers],[#Data],[Planten / Zaaien]]),_xlfn.XMATCH('SCENARIO 2 - Beste geval'!I102,CultInvest02[[#Headers],[Geen]:[Waarde MIN]])),J102)</f>
        <v>0</v>
      </c>
      <c r="L102" s="190" t="s">
        <v>48</v>
      </c>
      <c r="N102" s="79"/>
      <c r="O102" s="56"/>
      <c r="P102" s="176"/>
      <c r="Q102" s="176"/>
      <c r="R102" s="80"/>
    </row>
    <row r="103" spans="2:36" s="28" customFormat="1" ht="18" thickTop="1" thickBot="1" x14ac:dyDescent="0.25">
      <c r="H103" s="189" t="str">
        <v>Zaaikosten - machine + arbeid</v>
      </c>
      <c r="I103" s="69" t="s">
        <v>63</v>
      </c>
      <c r="J103" s="62"/>
      <c r="K103" s="176" cm="1">
        <f t="array" ref="K103">IF(ISBLANK(J103),INDEX(CultInvest02[[#Headers],[#Data],[Geen]:[Waarde MIN]],_xlfn.XMATCH('SCENARIO 2 - Beste geval'!H103,CultInvest02[[#Headers],[#Data],[Planten / Zaaien]]),_xlfn.XMATCH('SCENARIO 2 - Beste geval'!I103,CultInvest02[[#Headers],[Geen]:[Waarde MIN]])),J103)</f>
        <v>0</v>
      </c>
      <c r="L103" s="190" t="s">
        <v>48</v>
      </c>
      <c r="N103" s="79"/>
      <c r="O103" s="56"/>
      <c r="P103" s="176"/>
      <c r="Q103" s="176"/>
      <c r="R103" s="80"/>
    </row>
    <row r="104" spans="2:36" s="28" customFormat="1" ht="17" thickTop="1" x14ac:dyDescent="0.2">
      <c r="H104" s="81"/>
      <c r="I104" s="172"/>
      <c r="J104" s="172"/>
      <c r="K104" s="172"/>
      <c r="L104" s="82"/>
      <c r="N104" s="81"/>
      <c r="O104" s="172"/>
      <c r="P104" s="172"/>
      <c r="Q104" s="172"/>
      <c r="R104" s="82"/>
    </row>
    <row r="105" spans="2:36" s="28" customFormat="1" x14ac:dyDescent="0.2"/>
    <row r="106" spans="2:36" s="106" customFormat="1" ht="17" x14ac:dyDescent="0.2">
      <c r="B106" s="105" t="s">
        <v>70</v>
      </c>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row>
    <row r="107" spans="2:36" x14ac:dyDescent="0.2">
      <c r="B107" s="28"/>
      <c r="I107" s="28"/>
    </row>
    <row r="108" spans="2:36" x14ac:dyDescent="0.2">
      <c r="B108" s="87" t="s">
        <v>71</v>
      </c>
      <c r="C108" s="173"/>
      <c r="D108" s="173"/>
      <c r="E108" s="124"/>
      <c r="F108" s="85"/>
      <c r="H108" s="87" t="s">
        <v>72</v>
      </c>
      <c r="I108" s="173"/>
      <c r="J108" s="173"/>
      <c r="K108" s="124"/>
      <c r="L108" s="85"/>
      <c r="N108" s="198" t="s">
        <v>73</v>
      </c>
      <c r="O108" s="173"/>
      <c r="P108" s="173"/>
      <c r="Q108" s="173"/>
      <c r="R108" s="85"/>
    </row>
    <row r="109" spans="2:36" ht="17" thickBot="1" x14ac:dyDescent="0.25">
      <c r="B109" s="125"/>
      <c r="C109" s="171"/>
      <c r="D109" s="171"/>
      <c r="E109" s="56"/>
      <c r="F109" s="80"/>
      <c r="H109" s="125"/>
      <c r="I109" s="171"/>
      <c r="J109" s="171"/>
      <c r="K109" s="56"/>
      <c r="L109" s="80"/>
      <c r="N109" s="217"/>
      <c r="O109" s="171"/>
      <c r="P109" s="171"/>
      <c r="Q109" s="171"/>
      <c r="R109" s="80"/>
    </row>
    <row r="110" spans="2:36" ht="18" thickTop="1" thickBot="1" x14ac:dyDescent="0.25">
      <c r="B110" s="109" t="s">
        <v>74</v>
      </c>
      <c r="C110" s="503" t="s">
        <v>46</v>
      </c>
      <c r="D110" s="503"/>
      <c r="E110" s="503" t="s">
        <v>47</v>
      </c>
      <c r="F110" s="504"/>
      <c r="H110" s="89" t="s">
        <v>395</v>
      </c>
      <c r="I110" s="171"/>
      <c r="J110" s="171"/>
      <c r="K110" s="56"/>
      <c r="L110" s="80"/>
      <c r="N110" s="79" t="s">
        <v>73</v>
      </c>
      <c r="O110" s="69" t="s">
        <v>167</v>
      </c>
      <c r="P110" s="171"/>
      <c r="Q110" s="171"/>
      <c r="R110" s="80"/>
    </row>
    <row r="111" spans="2:36" ht="17" thickTop="1" x14ac:dyDescent="0.2">
      <c r="B111" s="79" t="str">
        <f>H114</f>
        <v>Blad &amp; stengelmateriaal - februari/maart</v>
      </c>
      <c r="C111" s="221">
        <f>K114</f>
        <v>14.25</v>
      </c>
      <c r="D111" s="171" t="s">
        <v>77</v>
      </c>
      <c r="E111" s="55">
        <f>C111*$E$42</f>
        <v>712.5</v>
      </c>
      <c r="F111" s="80" t="s">
        <v>78</v>
      </c>
      <c r="H111" s="125"/>
      <c r="I111" s="171"/>
      <c r="J111" s="171"/>
      <c r="K111" s="56"/>
      <c r="L111" s="80"/>
      <c r="N111" s="79"/>
      <c r="O111" s="171"/>
      <c r="P111" s="171"/>
      <c r="Q111" s="171"/>
      <c r="R111" s="80"/>
    </row>
    <row r="112" spans="2:36" ht="17" thickBot="1" x14ac:dyDescent="0.25">
      <c r="B112" s="79" t="str">
        <f>H117</f>
        <v>Pluis</v>
      </c>
      <c r="C112" s="221">
        <f>K117</f>
        <v>0.75</v>
      </c>
      <c r="D112" s="171" t="s">
        <v>77</v>
      </c>
      <c r="E112" s="55">
        <f>C112*$E$42</f>
        <v>37.5</v>
      </c>
      <c r="F112" s="80" t="s">
        <v>78</v>
      </c>
      <c r="H112" s="109" t="str" cm="1">
        <f t="array" ref="H112:H117">IF(H110='DATA - Variabelen &amp; waarden'!B158,GroteLisdodde[[#All],[Gewasopbrengsten grote lisdodde]],KleineLisdodde[[#All],[Gewasopbrengsten kleine lisdodde]])</f>
        <v>Gewasopbrengsten kleine lisdodde</v>
      </c>
      <c r="I112" s="90" t="s">
        <v>25</v>
      </c>
      <c r="J112" s="92" t="s">
        <v>26</v>
      </c>
      <c r="K112" s="56"/>
      <c r="L112" s="80"/>
      <c r="N112" s="109" t="s">
        <v>79</v>
      </c>
      <c r="O112" s="90" t="s">
        <v>25</v>
      </c>
      <c r="P112" s="92" t="s">
        <v>26</v>
      </c>
      <c r="Q112" s="171"/>
      <c r="R112" s="80"/>
    </row>
    <row r="113" spans="2:20" ht="18" thickTop="1" thickBot="1" x14ac:dyDescent="0.25">
      <c r="B113" s="79"/>
      <c r="C113" s="171"/>
      <c r="D113" s="171"/>
      <c r="E113" s="67"/>
      <c r="F113" s="80"/>
      <c r="H113" s="189" t="str">
        <v>Gehele plant - februari/maart</v>
      </c>
      <c r="I113" s="69" t="s">
        <v>52</v>
      </c>
      <c r="J113" s="62"/>
      <c r="K113" s="219" cm="1">
        <f t="array" ref="K113">IF(ISBLANK(J113),IF(H110='DATA - Variabelen &amp; waarden'!$B$158,INDEX(GroteLisdodde[[#All],[Geen]:[Waarde MIN]],_xlfn.XMATCH('SCENARIO 2 - Beste geval'!H113,GroteLisdodde[[#All],[Gewasopbrengsten grote lisdodde]]),_xlfn.XMATCH('SCENARIO 2 - Beste geval'!I113,GroteLisdodde[[#Headers],[Geen]:[Waarde MIN]])),INDEX(KleineLisdodde[[#All],[Geen]:[Waarde MIN]],_xlfn.XMATCH('SCENARIO 2 - Beste geval'!H113,KleineLisdodde[[#All],[Gewasopbrengsten kleine lisdodde]]),_xlfn.XMATCH('SCENARIO 2 - Beste geval'!I113,KleineLisdodde[[#Headers],[Geen]:[Waarde MIN]]))),'SCENARIO 2 - Beste geval'!J113)</f>
        <v>15</v>
      </c>
      <c r="L113" s="80" t="s">
        <v>77</v>
      </c>
      <c r="N113" s="187" t="s">
        <v>80</v>
      </c>
      <c r="O113" s="197">
        <f>K113*$D$42</f>
        <v>750</v>
      </c>
      <c r="P113" s="234"/>
      <c r="Q113" s="178">
        <f>IF(O110="Ja",IF(ISBLANK(P113),O113,P113),0)</f>
        <v>750</v>
      </c>
      <c r="R113" s="185" t="s">
        <v>81</v>
      </c>
    </row>
    <row r="114" spans="2:20" ht="18" thickTop="1" thickBot="1" x14ac:dyDescent="0.25">
      <c r="B114" s="109" t="s">
        <v>82</v>
      </c>
      <c r="C114" s="503" t="s">
        <v>46</v>
      </c>
      <c r="D114" s="503"/>
      <c r="E114" s="503" t="s">
        <v>47</v>
      </c>
      <c r="F114" s="504"/>
      <c r="H114" s="189" t="str">
        <v>Blad &amp; stengelmateriaal - februari/maart</v>
      </c>
      <c r="I114" s="180"/>
      <c r="J114" s="180"/>
      <c r="K114" s="219">
        <f>K113-K117</f>
        <v>14.25</v>
      </c>
      <c r="L114" s="80" t="s">
        <v>77</v>
      </c>
      <c r="N114" s="187" t="str">
        <f>'DATA - Variabelen &amp; waarden'!B274</f>
        <v>Drogestofgehalte input (feb/mrt)</v>
      </c>
      <c r="O114" s="69" t="s">
        <v>52</v>
      </c>
      <c r="P114" s="70"/>
      <c r="Q114" s="214" cm="1">
        <f t="array" ref="Q114">IF(ISBLANK(P114),INDEX(VoorDroog[[#All],[Geen]:[Waarde MIN]],_xlfn.XMATCH('SCENARIO 2 - Beste geval'!N114,VoorDroog[[#All],[Voordrogen]]),_xlfn.XMATCH('SCENARIO 2 - Beste geval'!O114,VoorDroog[[#Headers],[Geen]:[Waarde MIN]])),P114)</f>
        <v>0.7</v>
      </c>
      <c r="R114" s="185" t="s">
        <v>83</v>
      </c>
    </row>
    <row r="115" spans="2:20" ht="18" thickTop="1" thickBot="1" x14ac:dyDescent="0.25">
      <c r="B115" s="79" t="str">
        <f>H122</f>
        <v>Oogstkosten - Gehele plant/blad &amp; stengelmateriaal</v>
      </c>
      <c r="C115" s="223">
        <f>K122</f>
        <v>540</v>
      </c>
      <c r="D115" s="195" t="s">
        <v>48</v>
      </c>
      <c r="E115" s="223">
        <f>C115*$E$42</f>
        <v>27000</v>
      </c>
      <c r="F115" s="190" t="s">
        <v>49</v>
      </c>
      <c r="H115" s="187" t="str">
        <v>Pluis - gewicht pluis per aar in grammen</v>
      </c>
      <c r="I115" s="69" t="s">
        <v>52</v>
      </c>
      <c r="J115" s="62"/>
      <c r="K115" s="178" cm="1">
        <f t="array" ref="K115">IF(ISBLANK(J115),IF(H110='DATA - Variabelen &amp; waarden'!$B$158,INDEX(GroteLisdodde[[#All],[Geen]:[Waarde MIN]],_xlfn.XMATCH('SCENARIO 2 - Beste geval'!H115,GroteLisdodde[[#All],[Gewasopbrengsten grote lisdodde]]),_xlfn.XMATCH('SCENARIO 2 - Beste geval'!I115,GroteLisdodde[[#Headers],[Geen]:[Waarde MIN]])),INDEX(KleineLisdodde[[#All],[Geen]:[Waarde MIN]],_xlfn.XMATCH('SCENARIO 2 - Beste geval'!H115,KleineLisdodde[[#All],[Gewasopbrengsten kleine lisdodde]]),_xlfn.XMATCH('SCENARIO 2 - Beste geval'!I115,KleineLisdodde[[#Headers],[Geen]:[Waarde MIN]]))),'SCENARIO 2 - Beste geval'!J115)</f>
        <v>12.5</v>
      </c>
      <c r="L115" s="185" t="s">
        <v>84</v>
      </c>
      <c r="N115" s="207" t="s">
        <v>85</v>
      </c>
      <c r="O115" s="104"/>
      <c r="P115" s="104"/>
      <c r="Q115" s="176">
        <f>IFERROR(Q113/Q114,0)</f>
        <v>1071.4285714285716</v>
      </c>
      <c r="R115" s="190" t="s">
        <v>86</v>
      </c>
    </row>
    <row r="116" spans="2:20" ht="18" thickTop="1" thickBot="1" x14ac:dyDescent="0.25">
      <c r="B116" s="79" t="str">
        <f>H132</f>
        <v>Opslag - Plant/blad &amp; stengelmateriaal</v>
      </c>
      <c r="C116" s="223">
        <f>IFERROR(E116/$E$42,0)</f>
        <v>71.25</v>
      </c>
      <c r="D116" s="195" t="s">
        <v>48</v>
      </c>
      <c r="E116" s="223">
        <f>SUM(K131,K133)*E111</f>
        <v>3562.5</v>
      </c>
      <c r="F116" s="190" t="s">
        <v>49</v>
      </c>
      <c r="H116" s="187" t="str">
        <v>Pluis - aren per m2</v>
      </c>
      <c r="I116" s="69" t="s">
        <v>52</v>
      </c>
      <c r="J116" s="62"/>
      <c r="K116" s="178" cm="1">
        <f t="array" ref="K116">IF(ISBLANK(J116),IF(H110='DATA - Variabelen &amp; waarden'!$B$158,INDEX(GroteLisdodde[[#All],[Geen]:[Waarde MIN]],_xlfn.XMATCH('SCENARIO 2 - Beste geval'!H116,GroteLisdodde[[#All],[Gewasopbrengsten grote lisdodde]]),_xlfn.XMATCH('SCENARIO 2 - Beste geval'!I116,GroteLisdodde[[#Headers],[Geen]:[Waarde MIN]])),INDEX(KleineLisdodde[[#All],[Geen]:[Waarde MIN]],_xlfn.XMATCH('SCENARIO 2 - Beste geval'!H116,KleineLisdodde[[#All],[Gewasopbrengsten kleine lisdodde]]),_xlfn.XMATCH('SCENARIO 2 - Beste geval'!I116,KleineLisdodde[[#Headers],[Geen]:[Waarde MIN]]))),'SCENARIO 2 - Beste geval'!J116)</f>
        <v>6</v>
      </c>
      <c r="L116" s="185" t="s">
        <v>87</v>
      </c>
      <c r="N116" s="187" t="str">
        <f>'DATA - Variabelen &amp; waarden'!B275</f>
        <v xml:space="preserve">Drogestofgehalte output </v>
      </c>
      <c r="O116" s="69" t="s">
        <v>54</v>
      </c>
      <c r="P116" s="62"/>
      <c r="Q116" s="214" cm="1">
        <f t="array" ref="Q116">IF(ISBLANK(P116),INDEX(VoorDroog[[#All],[Geen]:[Waarde MIN]],_xlfn.XMATCH('SCENARIO 2 - Beste geval'!N116,VoorDroog[[#All],[Voordrogen]]),_xlfn.XMATCH('SCENARIO 2 - Beste geval'!O116,VoorDroog[[#Headers],[Geen]:[Waarde MIN]])),P116)</f>
        <v>0.9</v>
      </c>
      <c r="R116" s="185" t="s">
        <v>83</v>
      </c>
    </row>
    <row r="117" spans="2:20" ht="17" thickTop="1" x14ac:dyDescent="0.2">
      <c r="B117" s="79" t="str">
        <f>H139</f>
        <v>Oogstkosten - Pluis</v>
      </c>
      <c r="C117" s="223">
        <f>K139</f>
        <v>520</v>
      </c>
      <c r="D117" s="195" t="s">
        <v>48</v>
      </c>
      <c r="E117" s="223">
        <f>C117*$E$42</f>
        <v>26000</v>
      </c>
      <c r="F117" s="190" t="s">
        <v>49</v>
      </c>
      <c r="H117" s="79" t="str">
        <v>Pluis</v>
      </c>
      <c r="I117" s="221">
        <f>K115*K116*10000/1000000</f>
        <v>0.75</v>
      </c>
      <c r="J117" s="62"/>
      <c r="K117" s="220">
        <f>IF(ISBLANK(J117),I117,J117)</f>
        <v>0.75</v>
      </c>
      <c r="L117" s="80" t="s">
        <v>77</v>
      </c>
      <c r="N117" s="207" t="s">
        <v>88</v>
      </c>
      <c r="O117" s="195"/>
      <c r="P117" s="195"/>
      <c r="Q117" s="223">
        <f>IFERROR(IF($Q$114&lt;$Q$116,Q113/Q116,0),0)</f>
        <v>833.33333333333326</v>
      </c>
      <c r="R117" s="190" t="s">
        <v>86</v>
      </c>
    </row>
    <row r="118" spans="2:20" s="395" customFormat="1" ht="17" thickBot="1" x14ac:dyDescent="0.25">
      <c r="B118" s="79" t="str">
        <f>H149</f>
        <v>Opslag - Pluis</v>
      </c>
      <c r="C118" s="223">
        <f>IFERROR(E118/$E$42,0)</f>
        <v>17.8125</v>
      </c>
      <c r="D118" s="195" t="s">
        <v>48</v>
      </c>
      <c r="E118" s="223">
        <f>SUM(K148,K150)*E112</f>
        <v>890.625</v>
      </c>
      <c r="F118" s="190" t="s">
        <v>49</v>
      </c>
      <c r="H118" s="227"/>
      <c r="I118" s="228"/>
      <c r="J118" s="228"/>
      <c r="K118" s="229"/>
      <c r="L118" s="230"/>
      <c r="N118" s="233" t="s">
        <v>89</v>
      </c>
      <c r="O118" s="224"/>
      <c r="P118" s="224"/>
      <c r="Q118" s="244">
        <f>IF(Q114&lt;Q116,Q115-Q117,0)</f>
        <v>238.0952380952383</v>
      </c>
      <c r="R118" s="225" t="s">
        <v>86</v>
      </c>
    </row>
    <row r="119" spans="2:20" ht="18" thickTop="1" thickBot="1" x14ac:dyDescent="0.25">
      <c r="B119" s="245" t="s">
        <v>90</v>
      </c>
      <c r="C119" s="223">
        <f>IFERROR(E119/$E$42,0)</f>
        <v>1525.7142857142869</v>
      </c>
      <c r="D119" s="247" t="s">
        <v>48</v>
      </c>
      <c r="E119" s="246">
        <f>Q142</f>
        <v>76285.714285714348</v>
      </c>
      <c r="F119" s="248" t="s">
        <v>49</v>
      </c>
      <c r="N119" s="199" t="s">
        <v>91</v>
      </c>
      <c r="O119" s="69" t="s">
        <v>51</v>
      </c>
      <c r="P119" s="242"/>
      <c r="Q119" s="68" cm="1">
        <f t="array" ref="Q119">IF(ISBLANK(P119),_xlfn.XLOOKUP(O119,Tabel37[[#Headers],[Geen]:[Waarde MIN]],'DATA - Variabelen &amp; waarden'!D382:G382,"Selecteer waarde"),P119)</f>
        <v>2.5</v>
      </c>
      <c r="R119" s="190" t="s">
        <v>92</v>
      </c>
      <c r="T119" s="28"/>
    </row>
    <row r="120" spans="2:20" ht="17" thickTop="1" x14ac:dyDescent="0.2">
      <c r="B120" s="118" t="s">
        <v>93</v>
      </c>
      <c r="C120" s="249">
        <f>SUM(C115:C119)</f>
        <v>2674.7767857142871</v>
      </c>
      <c r="D120" s="249" t="s">
        <v>48</v>
      </c>
      <c r="E120" s="249">
        <f>SUM(E115:E119)</f>
        <v>133738.83928571435</v>
      </c>
      <c r="F120" s="250" t="s">
        <v>49</v>
      </c>
      <c r="H120" s="345" t="s">
        <v>94</v>
      </c>
      <c r="I120" s="347"/>
      <c r="J120" s="347"/>
      <c r="K120" s="372"/>
      <c r="L120" s="349"/>
      <c r="N120" s="79"/>
      <c r="O120" s="171"/>
      <c r="P120" s="171"/>
      <c r="Q120" s="171"/>
      <c r="R120" s="80"/>
    </row>
    <row r="121" spans="2:20" x14ac:dyDescent="0.2">
      <c r="H121" s="352"/>
      <c r="I121" s="171"/>
      <c r="J121" s="171"/>
      <c r="K121" s="56"/>
      <c r="L121" s="373"/>
      <c r="N121" s="109" t="s">
        <v>95</v>
      </c>
      <c r="O121" s="90" t="s">
        <v>25</v>
      </c>
      <c r="P121" s="92" t="s">
        <v>26</v>
      </c>
      <c r="Q121" s="171"/>
      <c r="R121" s="80"/>
    </row>
    <row r="122" spans="2:20" ht="17" thickBot="1" x14ac:dyDescent="0.25">
      <c r="H122" s="387" t="s">
        <v>643</v>
      </c>
      <c r="I122" s="90" t="s">
        <v>25</v>
      </c>
      <c r="J122" s="92" t="s">
        <v>26</v>
      </c>
      <c r="K122" s="54">
        <f>SUM(K128,K125)</f>
        <v>540</v>
      </c>
      <c r="L122" s="374" t="s">
        <v>48</v>
      </c>
      <c r="N122" s="187" t="s">
        <v>96</v>
      </c>
      <c r="O122" s="104"/>
      <c r="P122" s="258">
        <v>85</v>
      </c>
      <c r="Q122" s="104">
        <f>P122</f>
        <v>85</v>
      </c>
      <c r="R122" s="185" t="s">
        <v>97</v>
      </c>
    </row>
    <row r="123" spans="2:20" ht="18" thickTop="1" thickBot="1" x14ac:dyDescent="0.25">
      <c r="F123" s="28"/>
      <c r="H123" s="383" t="s">
        <v>411</v>
      </c>
      <c r="I123" s="69" t="s">
        <v>51</v>
      </c>
      <c r="J123" s="62"/>
      <c r="K123" s="178" cm="1">
        <f t="array" ref="K123">IF(ISBLANK(J123),INDEX(HarvestCost01[[#All],[Geen]:[Waarde MIN]],_xlfn.XMATCH('SCENARIO 2 - Beste geval'!H123,HarvestCost01[[#All],[Oogst - tarief - Gehele plant/blad &amp; stengelmateriaal]]),_xlfn.XMATCH('SCENARIO 2 - Beste geval'!I123,HarvestCost01[[#Headers],[Geen]:[Waarde MIN]])),J123)</f>
        <v>125</v>
      </c>
      <c r="L123" s="378" t="s">
        <v>57</v>
      </c>
      <c r="N123" s="237" t="s">
        <v>99</v>
      </c>
      <c r="O123" s="239" t="s">
        <v>51</v>
      </c>
      <c r="P123" s="258"/>
      <c r="Q123" s="236" cm="1">
        <f t="array" ref="Q123">IF(ISBLANK(P123),INDEX(ProcesCost01[[#All],[Geen]:[Waarde MIN]],_xlfn.XMATCH('SCENARIO 2 - Beste geval'!N123,ProcesCost01[[#All],[Transportkosten]]),_xlfn.XMATCH('SCENARIO 2 - Beste geval'!O123,ProcesCost01[[#Headers],[Geen]:[Waarde MIN]])),P123)</f>
        <v>0.03</v>
      </c>
      <c r="R123" s="185" t="s">
        <v>100</v>
      </c>
    </row>
    <row r="124" spans="2:20" ht="18" thickTop="1" thickBot="1" x14ac:dyDescent="0.25">
      <c r="H124" s="376" t="s">
        <v>642</v>
      </c>
      <c r="I124" s="69" t="s">
        <v>51</v>
      </c>
      <c r="J124" s="62"/>
      <c r="K124" s="385" cm="1">
        <f t="array" ref="K124">IF(ISBLANK(J124),INDEX('DATA - Variabelen &amp; waarden'!D189:G198,_xlfn.XMATCH('SCENARIO 2 - Beste geval'!H123,'DATA - Variabelen &amp; waarden'!B189:B198),_xlfn.XMATCH('SCENARIO 2 - Beste geval'!I124,'DATA - Variabelen &amp; waarden'!D189:G189)),J124)</f>
        <v>3</v>
      </c>
      <c r="L124" s="386" t="s">
        <v>55</v>
      </c>
      <c r="N124" s="207" t="s">
        <v>101</v>
      </c>
      <c r="O124" s="171"/>
      <c r="P124" s="62"/>
      <c r="Q124" s="176">
        <f>IF(ISBLANK(P124),IF($Q$114&lt;$Q$116,Q122*Q123*Q115,0),P124)</f>
        <v>2732.1428571428573</v>
      </c>
      <c r="R124" s="80" t="s">
        <v>102</v>
      </c>
    </row>
    <row r="125" spans="2:20" ht="18" thickTop="1" thickBot="1" x14ac:dyDescent="0.25">
      <c r="H125" s="384" t="s">
        <v>641</v>
      </c>
      <c r="I125" s="370">
        <f>K123*K124</f>
        <v>375</v>
      </c>
      <c r="J125" s="62"/>
      <c r="K125" s="176">
        <f>IF(ISBLANK(J125),I125,J125)</f>
        <v>375</v>
      </c>
      <c r="L125" s="342" t="s">
        <v>48</v>
      </c>
      <c r="N125" s="200"/>
      <c r="O125" s="171"/>
      <c r="P125" s="171"/>
      <c r="Q125" s="171"/>
      <c r="R125" s="80"/>
    </row>
    <row r="126" spans="2:20" ht="18" thickTop="1" thickBot="1" x14ac:dyDescent="0.25">
      <c r="H126" s="376" t="str">
        <f>HarvestCost11[[#Headers],[Veld &amp; opslaglogistiek - tarief - Gehele plant/blad &amp; stengelmateriaal]]</f>
        <v>Veld &amp; opslaglogistiek - tarief - Gehele plant/blad &amp; stengelmateriaal</v>
      </c>
      <c r="I126" s="69" t="s">
        <v>51</v>
      </c>
      <c r="J126" s="62"/>
      <c r="K126" s="385" cm="1">
        <f t="array" ref="K126">IF(ISBLANK(J126),_xlfn.XLOOKUP(I126,HarvestCost11[[#Headers],[Geen]:[Waarde MIN]],HarvestCost11[[#Totals],[Geen]:[Waarde MIN]]),J126)</f>
        <v>55</v>
      </c>
      <c r="L126" s="386" t="s">
        <v>57</v>
      </c>
      <c r="N126" s="187" t="s">
        <v>105</v>
      </c>
      <c r="O126" s="104"/>
      <c r="P126" s="258">
        <v>85</v>
      </c>
      <c r="Q126" s="104">
        <f>P126</f>
        <v>85</v>
      </c>
      <c r="R126" s="185" t="s">
        <v>97</v>
      </c>
    </row>
    <row r="127" spans="2:20" ht="18" thickTop="1" thickBot="1" x14ac:dyDescent="0.25">
      <c r="H127" s="376" t="s">
        <v>640</v>
      </c>
      <c r="I127" s="69" t="s">
        <v>51</v>
      </c>
      <c r="J127" s="62"/>
      <c r="K127" s="385" cm="1">
        <f t="array" ref="K127">IF(ISBLANK(J127),INDEX('DATA - Variabelen &amp; waarden'!D189:G198,_xlfn.XMATCH('SCENARIO 2 - Beste geval'!H123,'DATA - Variabelen &amp; waarden'!B189:B198),_xlfn.XMATCH('SCENARIO 2 - Beste geval'!I127,'DATA - Variabelen &amp; waarden'!D189:G189)),J127)</f>
        <v>3</v>
      </c>
      <c r="L127" s="386" t="s">
        <v>55</v>
      </c>
      <c r="N127" s="237" t="s">
        <v>99</v>
      </c>
      <c r="O127" s="239" t="s">
        <v>51</v>
      </c>
      <c r="P127" s="258"/>
      <c r="Q127" s="236" cm="1">
        <f t="array" ref="Q127">IF(ISBLANK(P127),INDEX(ProcesCost01[[#All],[Geen]:[Waarde MIN]],_xlfn.XMATCH('SCENARIO 2 - Beste geval'!N127,ProcesCost01[[#All],[Transportkosten]]),_xlfn.XMATCH('SCENARIO 2 - Beste geval'!O127,ProcesCost01[[#Headers],[Geen]:[Waarde MIN]])),P127)</f>
        <v>0.03</v>
      </c>
      <c r="R127" s="185" t="s">
        <v>100</v>
      </c>
    </row>
    <row r="128" spans="2:20" ht="17" thickTop="1" x14ac:dyDescent="0.2">
      <c r="H128" s="384" t="s">
        <v>639</v>
      </c>
      <c r="I128" s="370">
        <f>K126*K127</f>
        <v>165</v>
      </c>
      <c r="J128" s="62"/>
      <c r="K128" s="176">
        <f>IF(ISBLANK(J128),I128,J128)</f>
        <v>165</v>
      </c>
      <c r="L128" s="342" t="s">
        <v>48</v>
      </c>
      <c r="N128" s="207" t="s">
        <v>107</v>
      </c>
      <c r="O128" s="171"/>
      <c r="P128" s="62"/>
      <c r="Q128" s="176">
        <f>IF(ISBLANK(P128),Q126*Q127*Q117,P128)</f>
        <v>2124.9999999999995</v>
      </c>
      <c r="R128" s="80" t="s">
        <v>102</v>
      </c>
    </row>
    <row r="129" spans="2:18" x14ac:dyDescent="0.2">
      <c r="H129" s="340"/>
      <c r="I129" s="341"/>
      <c r="J129" s="341"/>
      <c r="K129" s="370"/>
      <c r="L129" s="342"/>
      <c r="N129" s="200"/>
      <c r="O129" s="171"/>
      <c r="P129" s="171"/>
      <c r="Q129" s="171"/>
      <c r="R129" s="80"/>
    </row>
    <row r="130" spans="2:18" ht="17" thickBot="1" x14ac:dyDescent="0.25">
      <c r="H130" s="387" t="str">
        <f>Stock1[[#Headers],[Bewaarmethode - Plant/blad &amp; stengelmateriaal]]</f>
        <v>Bewaarmethode - Plant/blad &amp; stengelmateriaal</v>
      </c>
      <c r="I130" s="171"/>
      <c r="J130" s="171"/>
      <c r="K130" s="56"/>
      <c r="L130" s="373"/>
      <c r="N130" s="109" t="s">
        <v>111</v>
      </c>
      <c r="O130" s="90" t="s">
        <v>25</v>
      </c>
      <c r="P130" s="92" t="s">
        <v>26</v>
      </c>
      <c r="Q130" s="171"/>
      <c r="R130" s="80"/>
    </row>
    <row r="131" spans="2:18" ht="18" thickTop="1" thickBot="1" x14ac:dyDescent="0.25">
      <c r="H131" s="375" t="s">
        <v>429</v>
      </c>
      <c r="I131" s="69" t="s">
        <v>51</v>
      </c>
      <c r="J131" s="62"/>
      <c r="K131" s="56" cm="1">
        <f t="array" ref="K131">IF(ISBLANK(J131),INDEX(Stock1[[#All],[Geen]:[Waarde MIN]],_xlfn.XMATCH('SCENARIO 2 - Beste geval'!H131,Stock1[[#All],[Bewaarmethode - Plant/blad &amp; stengelmateriaal]]),_xlfn.XMATCH('SCENARIO 2 - Beste geval'!I131,Stock1[[#Headers],[Geen]:[Waarde MIN]])),J131)</f>
        <v>0</v>
      </c>
      <c r="L131" s="373" t="s">
        <v>104</v>
      </c>
      <c r="N131" s="237" t="s">
        <v>114</v>
      </c>
      <c r="O131" s="69" t="s">
        <v>51</v>
      </c>
      <c r="P131" s="77"/>
      <c r="Q131" s="240" cm="1">
        <f t="array" ref="Q131">IF(ISBLANK(P131),INDEX(DryingCost1[[#All],[Geen]:[Waarde MIN]],_xlfn.XMATCH('SCENARIO 2 - Beste geval'!N131,DryingCost1[[#All],[Drogen - Kosten]]),_xlfn.XMATCH('SCENARIO 2 - Beste geval'!O131,DryingCost1[[#Headers],[Geen]:[Waarde MIN]])),P131)</f>
        <v>300</v>
      </c>
      <c r="R131" s="185" t="s">
        <v>115</v>
      </c>
    </row>
    <row r="132" spans="2:18" ht="18" thickTop="1" thickBot="1" x14ac:dyDescent="0.25">
      <c r="H132" s="387" t="str">
        <f>Stock11[[#Headers],[Opslag - Plant/blad &amp; stengelmateriaal]]</f>
        <v>Opslag - Plant/blad &amp; stengelmateriaal</v>
      </c>
      <c r="I132" s="171"/>
      <c r="J132" s="171"/>
      <c r="K132" s="56"/>
      <c r="L132" s="373"/>
      <c r="N132" s="206" t="s">
        <v>117</v>
      </c>
      <c r="O132" s="69" t="s">
        <v>52</v>
      </c>
      <c r="P132" s="76"/>
      <c r="Q132" s="241" cm="1">
        <f t="array" ref="Q132">IF(ISBLANK(P132),INDEX(DryingCost11[[#All],[Geen]:[Waarde MIN]],_xlfn.XMATCH('SCENARIO 2 - Beste geval'!N131,DryingCost11[[#All],[Drogen - Producteffciency]]),_xlfn.XMATCH('SCENARIO 2 - Beste geval'!O132,DryingCost11[[#Headers],[Geen]:[Waarde MIN]])),P132)</f>
        <v>1</v>
      </c>
      <c r="R132" s="185" t="s">
        <v>58</v>
      </c>
    </row>
    <row r="133" spans="2:18" s="28" customFormat="1" ht="18" thickTop="1" thickBot="1" x14ac:dyDescent="0.25">
      <c r="B133"/>
      <c r="C133" s="203"/>
      <c r="D133" s="203"/>
      <c r="E133" s="203"/>
      <c r="F133" s="203"/>
      <c r="H133" s="375" t="s">
        <v>106</v>
      </c>
      <c r="I133" s="69" t="s">
        <v>51</v>
      </c>
      <c r="J133" s="62"/>
      <c r="K133" s="68" cm="1">
        <f t="array" ref="K133">IF(ISBLANK(J133),INDEX(Stock11[[#All],[Geen]:[Waarde MIN]],_xlfn.XMATCH('SCENARIO 2 - Beste geval'!H133,Stock11[[#All],[Opslag - Plant/blad &amp; stengelmateriaal]]),_xlfn.XMATCH('SCENARIO 2 - Beste geval'!I133,Stock11[[#Headers],[Geen]:[Waarde MIN]])),J133)</f>
        <v>5</v>
      </c>
      <c r="L133" s="373" t="s">
        <v>104</v>
      </c>
      <c r="N133" s="238" t="s">
        <v>111</v>
      </c>
      <c r="O133" s="171"/>
      <c r="P133" s="62"/>
      <c r="Q133" s="176">
        <f>IF(ISBLANK(P133),Q131*Q118,P133)</f>
        <v>71428.571428571493</v>
      </c>
      <c r="R133" s="80" t="s">
        <v>102</v>
      </c>
    </row>
    <row r="134" spans="2:18" s="28" customFormat="1" ht="18" thickTop="1" thickBot="1" x14ac:dyDescent="0.25">
      <c r="B134"/>
      <c r="C134"/>
      <c r="D134"/>
      <c r="E134"/>
      <c r="F134"/>
      <c r="H134" s="377" t="s">
        <v>108</v>
      </c>
      <c r="I134" s="171"/>
      <c r="J134" s="171"/>
      <c r="K134" s="56"/>
      <c r="L134" s="373"/>
      <c r="N134" s="207" t="s">
        <v>118</v>
      </c>
      <c r="O134" s="171"/>
      <c r="P134" s="171"/>
      <c r="Q134" s="55">
        <f>Q117*Q132</f>
        <v>833.33333333333326</v>
      </c>
      <c r="R134" s="80" t="s">
        <v>86</v>
      </c>
    </row>
    <row r="135" spans="2:18" s="28" customFormat="1" ht="18" thickTop="1" thickBot="1" x14ac:dyDescent="0.25">
      <c r="B135"/>
      <c r="C135"/>
      <c r="D135"/>
      <c r="E135"/>
      <c r="F135"/>
      <c r="H135" s="375" t="s">
        <v>109</v>
      </c>
      <c r="I135" s="69" t="s">
        <v>54</v>
      </c>
      <c r="J135" s="62"/>
      <c r="K135" s="178" cm="1">
        <f t="array" ref="K135">IF(ISBLANK(J135),INDEX(StockBales[[#All],[Geen]:[Waarde MIN]],_xlfn.XMATCH(H135,StockBales[[#All],[DS inhoud balen ]]),_xlfn.XMATCH('SCENARIO 2 - Beste geval'!I135,StockBales[[#Headers],[Geen]:[Waarde MIN]])),J135)</f>
        <v>299.70000000000005</v>
      </c>
      <c r="L135" s="378" t="s">
        <v>110</v>
      </c>
      <c r="N135" s="207" t="s">
        <v>120</v>
      </c>
      <c r="O135" s="171"/>
      <c r="P135" s="171"/>
      <c r="Q135" s="55">
        <f>Q117-Q134</f>
        <v>0</v>
      </c>
      <c r="R135" s="80" t="s">
        <v>86</v>
      </c>
    </row>
    <row r="136" spans="2:18" s="28" customFormat="1" ht="17" thickTop="1" x14ac:dyDescent="0.2">
      <c r="B136"/>
      <c r="C136"/>
      <c r="D136"/>
      <c r="E136"/>
      <c r="F136"/>
      <c r="H136" s="379" t="s">
        <v>112</v>
      </c>
      <c r="I136" s="195"/>
      <c r="J136" s="195"/>
      <c r="K136" s="176">
        <f>IF(OR(H131='DATA - Variabelen &amp; waarden'!B234,H131='DATA - Variabelen &amp; waarden'!B235,H131='DATA - Variabelen &amp; waarden'!B237),K135/1000*K131,0)</f>
        <v>0</v>
      </c>
      <c r="L136" s="380" t="s">
        <v>113</v>
      </c>
      <c r="N136" s="79"/>
      <c r="O136" s="171"/>
      <c r="P136" s="171"/>
      <c r="Q136" s="171"/>
      <c r="R136" s="80"/>
    </row>
    <row r="137" spans="2:18" s="28" customFormat="1" x14ac:dyDescent="0.2">
      <c r="B137"/>
      <c r="C137"/>
      <c r="D137"/>
      <c r="E137"/>
      <c r="F137"/>
      <c r="H137" s="379" t="s">
        <v>116</v>
      </c>
      <c r="I137" s="195"/>
      <c r="J137" s="195"/>
      <c r="K137" s="192">
        <f>IF(OR(H133='DATA - Variabelen &amp; waarden'!B244,H133='DATA - Variabelen &amp; waarden'!B245,H133='DATA - Variabelen &amp; waarden'!B246),'SCENARIO 2 - Beste geval'!K135/1000*'SCENARIO 2 - Beste geval'!K133,0)</f>
        <v>1.4985000000000002</v>
      </c>
      <c r="L137" s="380" t="s">
        <v>113</v>
      </c>
      <c r="N137" s="202" t="s">
        <v>121</v>
      </c>
      <c r="O137" s="171"/>
      <c r="P137" s="171"/>
      <c r="Q137" s="171"/>
      <c r="R137" s="80"/>
    </row>
    <row r="138" spans="2:18" s="28" customFormat="1" x14ac:dyDescent="0.2">
      <c r="B138"/>
      <c r="C138"/>
      <c r="D138"/>
      <c r="E138"/>
      <c r="F138"/>
      <c r="H138" s="352"/>
      <c r="I138" s="171"/>
      <c r="J138" s="171"/>
      <c r="K138" s="56"/>
      <c r="L138" s="373"/>
      <c r="N138" s="200" t="s">
        <v>123</v>
      </c>
      <c r="O138" s="171"/>
      <c r="P138" s="171"/>
      <c r="Q138" s="55">
        <f>Q124</f>
        <v>2732.1428571428573</v>
      </c>
      <c r="R138" s="80" t="s">
        <v>124</v>
      </c>
    </row>
    <row r="139" spans="2:18" s="28" customFormat="1" ht="17" thickBot="1" x14ac:dyDescent="0.25">
      <c r="B139"/>
      <c r="C139"/>
      <c r="D139"/>
      <c r="E139"/>
      <c r="F139"/>
      <c r="H139" s="387" t="s">
        <v>644</v>
      </c>
      <c r="I139" s="90" t="s">
        <v>25</v>
      </c>
      <c r="J139" s="92" t="s">
        <v>26</v>
      </c>
      <c r="K139" s="371">
        <f>SUM(K142,K145)</f>
        <v>520</v>
      </c>
      <c r="L139" s="374" t="s">
        <v>48</v>
      </c>
      <c r="N139" s="200" t="s">
        <v>125</v>
      </c>
      <c r="O139" s="171"/>
      <c r="P139" s="171"/>
      <c r="Q139" s="55">
        <f>Q128</f>
        <v>2124.9999999999995</v>
      </c>
      <c r="R139" s="80" t="s">
        <v>124</v>
      </c>
    </row>
    <row r="140" spans="2:18" s="28" customFormat="1" ht="18" thickTop="1" thickBot="1" x14ac:dyDescent="0.25">
      <c r="B140"/>
      <c r="C140"/>
      <c r="D140"/>
      <c r="E140"/>
      <c r="F140"/>
      <c r="H140" s="383" t="s">
        <v>413</v>
      </c>
      <c r="I140" s="69" t="s">
        <v>51</v>
      </c>
      <c r="J140" s="62"/>
      <c r="K140" s="385" cm="1">
        <f t="array" ref="K140">IF(ISBLANK(J140),INDEX(HarvestCost2[[#All],[Geen]:[Waarde MIN]],_xlfn.XMATCH('SCENARIO 2 - Beste geval'!H140,HarvestCost2[[#All],[Oogst - tarief - Pluis]]),_xlfn.XMATCH('SCENARIO 2 - Beste geval'!I140,HarvestCost2[[#Headers],[Geen]:[Waarde MIN]])),J140)</f>
        <v>75</v>
      </c>
      <c r="L140" s="378" t="s">
        <v>57</v>
      </c>
      <c r="N140" s="79" t="s">
        <v>111</v>
      </c>
      <c r="O140" s="171"/>
      <c r="P140" s="171"/>
      <c r="Q140" s="55">
        <f>Q133</f>
        <v>71428.571428571493</v>
      </c>
      <c r="R140" s="80" t="s">
        <v>124</v>
      </c>
    </row>
    <row r="141" spans="2:18" s="28" customFormat="1" ht="18" customHeight="1" thickTop="1" thickBot="1" x14ac:dyDescent="0.4">
      <c r="B141"/>
      <c r="C141"/>
      <c r="D141"/>
      <c r="E141"/>
      <c r="F141"/>
      <c r="H141" s="389" t="s">
        <v>642</v>
      </c>
      <c r="I141" s="388" t="s">
        <v>51</v>
      </c>
      <c r="J141" s="62"/>
      <c r="K141" s="391" cm="1">
        <f t="array" ref="K141">IF(ISBLANK(J141),INDEX('DATA - Variabelen &amp; waarden'!D214:G220,_xlfn.XMATCH('SCENARIO 2 - Beste geval'!H140,'DATA - Variabelen &amp; waarden'!B214:B220),_xlfn.XMATCH('SCENARIO 2 - Beste geval'!I141,'DATA - Variabelen &amp; waarden'!D214:G214)),J141)</f>
        <v>4</v>
      </c>
      <c r="L141" s="392" t="s">
        <v>55</v>
      </c>
      <c r="N141" s="222" t="s">
        <v>128</v>
      </c>
      <c r="O141" s="171"/>
      <c r="P141" s="171"/>
      <c r="Q141" s="235">
        <f>Q135*Q119</f>
        <v>0</v>
      </c>
      <c r="R141" s="80" t="s">
        <v>124</v>
      </c>
    </row>
    <row r="142" spans="2:18" s="28" customFormat="1" ht="18" thickTop="1" thickBot="1" x14ac:dyDescent="0.25">
      <c r="B142"/>
      <c r="C142"/>
      <c r="D142"/>
      <c r="E142"/>
      <c r="F142"/>
      <c r="H142" s="384" t="s">
        <v>641</v>
      </c>
      <c r="I142" s="370">
        <f>K140*K141</f>
        <v>300</v>
      </c>
      <c r="J142" s="62"/>
      <c r="K142" s="176">
        <f>IF(ISBLANK(J142),I142,J142)</f>
        <v>300</v>
      </c>
      <c r="L142" s="342" t="s">
        <v>48</v>
      </c>
      <c r="N142" s="243" t="s">
        <v>131</v>
      </c>
      <c r="O142" s="57"/>
      <c r="P142" s="57"/>
      <c r="Q142" s="65">
        <f>SUM(Q138:Q141)</f>
        <v>76285.714285714348</v>
      </c>
      <c r="R142" s="184" t="s">
        <v>49</v>
      </c>
    </row>
    <row r="143" spans="2:18" s="28" customFormat="1" ht="18" thickTop="1" thickBot="1" x14ac:dyDescent="0.25">
      <c r="B143"/>
      <c r="C143"/>
      <c r="D143"/>
      <c r="E143"/>
      <c r="F143"/>
      <c r="H143" s="376" t="str">
        <f>HarvestCost21[[#Headers],[Veld &amp; opslaglogistiek - tarief - Pluis ]]</f>
        <v xml:space="preserve">Veld &amp; opslaglogistiek - tarief - Pluis </v>
      </c>
      <c r="I143" s="69" t="s">
        <v>51</v>
      </c>
      <c r="J143" s="62"/>
      <c r="K143" s="385" cm="1">
        <f t="array" ref="K143">IF(ISBLANK(J143),_xlfn.XLOOKUP(I143,HarvestCost21[[#Headers],[Geen]:[Waarde MIN]],HarvestCost21[[#Totals],[Geen]:[Waarde MIN]]),J143)</f>
        <v>55</v>
      </c>
      <c r="L143" s="386" t="s">
        <v>57</v>
      </c>
      <c r="N143" s="207" t="s">
        <v>134</v>
      </c>
      <c r="O143" s="195"/>
      <c r="P143" s="195"/>
      <c r="Q143" s="176">
        <f>IFERROR(Q142/Q134,0)</f>
        <v>91.54285714285723</v>
      </c>
      <c r="R143" s="190" t="s">
        <v>92</v>
      </c>
    </row>
    <row r="144" spans="2:18" s="28" customFormat="1" ht="18" thickTop="1" thickBot="1" x14ac:dyDescent="0.25">
      <c r="B144"/>
      <c r="C144"/>
      <c r="D144"/>
      <c r="E144"/>
      <c r="F144"/>
      <c r="H144" s="376" t="s">
        <v>640</v>
      </c>
      <c r="I144" s="69" t="s">
        <v>51</v>
      </c>
      <c r="J144" s="62"/>
      <c r="K144" s="390" cm="1">
        <f t="array" ref="K144">IF(ISBLANK(J144),INDEX('DATA - Variabelen &amp; waarden'!D214:G220,_xlfn.XMATCH('SCENARIO 2 - Beste geval'!H140,'DATA - Variabelen &amp; waarden'!B214:B220),_xlfn.XMATCH('SCENARIO 2 - Beste geval'!I144,'DATA - Variabelen &amp; waarden'!D214:G214)),J144)</f>
        <v>4</v>
      </c>
      <c r="L144" s="386" t="s">
        <v>55</v>
      </c>
      <c r="N144" s="187"/>
      <c r="O144" s="171"/>
      <c r="P144" s="171"/>
      <c r="Q144" s="196"/>
      <c r="R144" s="185"/>
    </row>
    <row r="145" spans="2:36" s="28" customFormat="1" ht="17" thickTop="1" x14ac:dyDescent="0.2">
      <c r="B145"/>
      <c r="C145"/>
      <c r="D145"/>
      <c r="E145"/>
      <c r="F145"/>
      <c r="H145" s="384" t="s">
        <v>639</v>
      </c>
      <c r="I145" s="381">
        <f>K143*K144</f>
        <v>220</v>
      </c>
      <c r="J145" s="62"/>
      <c r="K145" s="176">
        <f>IF(ISBLANK(J145),I145,J145)</f>
        <v>220</v>
      </c>
      <c r="L145" s="342" t="s">
        <v>48</v>
      </c>
      <c r="N145" s="187"/>
      <c r="O145" s="171"/>
      <c r="P145" s="171"/>
      <c r="Q145" s="196"/>
      <c r="R145" s="185"/>
    </row>
    <row r="146" spans="2:36" s="28" customFormat="1" x14ac:dyDescent="0.2">
      <c r="B146"/>
      <c r="C146"/>
      <c r="D146"/>
      <c r="E146"/>
      <c r="F146"/>
      <c r="H146" s="340"/>
      <c r="I146" s="341"/>
      <c r="J146" s="341"/>
      <c r="K146" s="341"/>
      <c r="L146" s="342"/>
      <c r="N146" s="187"/>
      <c r="O146" s="171"/>
      <c r="P146" s="171"/>
      <c r="Q146" s="196"/>
      <c r="R146" s="185"/>
    </row>
    <row r="147" spans="2:36" s="28" customFormat="1" ht="17" thickBot="1" x14ac:dyDescent="0.25">
      <c r="B147"/>
      <c r="C147"/>
      <c r="D147"/>
      <c r="E147"/>
      <c r="F147"/>
      <c r="H147" s="387" t="str">
        <f>Stock2[[#Headers],[Bewaarmethode - Pluis]]</f>
        <v>Bewaarmethode - Pluis</v>
      </c>
      <c r="I147" s="171"/>
      <c r="J147" s="171"/>
      <c r="K147" s="370"/>
      <c r="L147" s="373"/>
      <c r="N147" s="187"/>
      <c r="O147" s="171"/>
      <c r="P147" s="171"/>
      <c r="Q147" s="196"/>
      <c r="R147" s="185"/>
    </row>
    <row r="148" spans="2:36" s="28" customFormat="1" ht="18" thickTop="1" thickBot="1" x14ac:dyDescent="0.25">
      <c r="B148"/>
      <c r="C148"/>
      <c r="D148"/>
      <c r="E148"/>
      <c r="F148"/>
      <c r="H148" s="375" t="s">
        <v>687</v>
      </c>
      <c r="I148" s="69" t="s">
        <v>51</v>
      </c>
      <c r="J148" s="62"/>
      <c r="K148" s="56" cm="1">
        <f t="array" ref="K148">IF(ISBLANK(J148),INDEX(Stock2[[#All],[Geen]:[Waarde MIN]],_xlfn.XMATCH('SCENARIO 2 - Beste geval'!H148,Stock2[[#All],[Bewaarmethode - Pluis]]),_xlfn.XMATCH('SCENARIO 2 - Beste geval'!I148,Stock2[[#Headers],[Geen]:[Waarde MIN]])),J148)</f>
        <v>18.75</v>
      </c>
      <c r="L148" s="373" t="s">
        <v>104</v>
      </c>
      <c r="N148" s="187"/>
      <c r="O148" s="171"/>
      <c r="P148" s="171"/>
      <c r="Q148" s="196"/>
      <c r="R148" s="185"/>
    </row>
    <row r="149" spans="2:36" s="28" customFormat="1" ht="18" thickTop="1" thickBot="1" x14ac:dyDescent="0.25">
      <c r="B149"/>
      <c r="C149"/>
      <c r="D149"/>
      <c r="E149"/>
      <c r="F149"/>
      <c r="H149" s="387" t="str">
        <f>Stock21[[#Headers],[Opslag - Pluis]]</f>
        <v>Opslag - Pluis</v>
      </c>
      <c r="I149" s="171"/>
      <c r="J149" s="171"/>
      <c r="K149" s="56"/>
      <c r="L149" s="373"/>
      <c r="N149" s="187"/>
      <c r="O149" s="171"/>
      <c r="P149" s="171"/>
      <c r="Q149" s="196"/>
      <c r="R149" s="185"/>
    </row>
    <row r="150" spans="2:36" s="28" customFormat="1" ht="18" thickTop="1" thickBot="1" x14ac:dyDescent="0.25">
      <c r="B150"/>
      <c r="C150"/>
      <c r="D150"/>
      <c r="E150"/>
      <c r="F150"/>
      <c r="H150" s="375" t="s">
        <v>106</v>
      </c>
      <c r="I150" s="69" t="s">
        <v>51</v>
      </c>
      <c r="J150" s="62"/>
      <c r="K150" s="68" cm="1">
        <f t="array" ref="K150">IF(ISBLANK(J150),INDEX(Stock21[[#All],[Geen]:[Waarde MIN]],_xlfn.XMATCH('SCENARIO 2 - Beste geval'!H150,Stock21[[#All],[Opslag - Pluis]]),_xlfn.XMATCH('SCENARIO 2 - Beste geval'!I150,Stock21[[#Headers],[Geen]:[Waarde MIN]])),J150)</f>
        <v>5</v>
      </c>
      <c r="L150" s="373" t="s">
        <v>104</v>
      </c>
      <c r="N150" s="187"/>
      <c r="O150" s="171"/>
      <c r="P150" s="171"/>
      <c r="Q150" s="196"/>
      <c r="R150" s="185"/>
    </row>
    <row r="151" spans="2:36" s="28" customFormat="1" ht="18" thickTop="1" thickBot="1" x14ac:dyDescent="0.25">
      <c r="B151"/>
      <c r="C151"/>
      <c r="D151"/>
      <c r="E151"/>
      <c r="F151"/>
      <c r="H151" s="382" t="s">
        <v>127</v>
      </c>
      <c r="I151" s="171"/>
      <c r="J151" s="171"/>
      <c r="K151" s="56"/>
      <c r="L151" s="373"/>
      <c r="N151" s="187"/>
      <c r="O151" s="171"/>
      <c r="P151" s="171"/>
      <c r="Q151" s="196"/>
      <c r="R151" s="185"/>
    </row>
    <row r="152" spans="2:36" s="28" customFormat="1" ht="18" thickTop="1" thickBot="1" x14ac:dyDescent="0.25">
      <c r="B152"/>
      <c r="C152"/>
      <c r="D152"/>
      <c r="E152"/>
      <c r="F152"/>
      <c r="H152" s="375" t="s">
        <v>129</v>
      </c>
      <c r="I152" s="69" t="s">
        <v>54</v>
      </c>
      <c r="J152" s="62"/>
      <c r="K152" s="178" cm="1">
        <f t="array" ref="K152">IF(ISBLANK(J152),INDEX(StockPluis[[#All],[Geen]:[Waarde MIN]],_xlfn.XMATCH('SCENARIO 2 - Beste geval'!H152,StockPluis[[#All],[DS inhoud big bag]]),_xlfn.XMATCH('SCENARIO 2 - Beste geval'!I152,StockPluis[[#Headers],[Geen]:[Waarde MIN]])),J152)</f>
        <v>65</v>
      </c>
      <c r="L152" s="378" t="s">
        <v>130</v>
      </c>
      <c r="N152" s="187"/>
      <c r="O152" s="171"/>
      <c r="P152" s="171"/>
      <c r="Q152" s="196"/>
      <c r="R152" s="185"/>
    </row>
    <row r="153" spans="2:36" s="28" customFormat="1" ht="17" thickTop="1" x14ac:dyDescent="0.2">
      <c r="B153"/>
      <c r="C153"/>
      <c r="D153"/>
      <c r="E153"/>
      <c r="F153"/>
      <c r="H153" s="379" t="s">
        <v>132</v>
      </c>
      <c r="I153" s="195"/>
      <c r="J153" s="195"/>
      <c r="K153" s="176">
        <f>IF(H148='DATA - Variabelen &amp; waarden'!B259,K152/1000*K148,0)</f>
        <v>0</v>
      </c>
      <c r="L153" s="380" t="s">
        <v>133</v>
      </c>
      <c r="N153" s="187"/>
      <c r="O153" s="171"/>
      <c r="P153" s="171"/>
      <c r="Q153" s="196"/>
      <c r="R153" s="185"/>
    </row>
    <row r="154" spans="2:36" s="28" customFormat="1" x14ac:dyDescent="0.2">
      <c r="B154"/>
      <c r="C154"/>
      <c r="D154"/>
      <c r="E154"/>
      <c r="F154"/>
      <c r="H154" s="379" t="s">
        <v>135</v>
      </c>
      <c r="I154" s="195"/>
      <c r="J154" s="195"/>
      <c r="K154" s="192">
        <f>IF(H150='DATA - Variabelen &amp; waarden'!B271,'SCENARIO 2 - Beste geval'!K152/1000*'SCENARIO 2 - Beste geval'!K150,0)</f>
        <v>0</v>
      </c>
      <c r="L154" s="380" t="s">
        <v>133</v>
      </c>
      <c r="N154" s="79"/>
      <c r="O154" s="171"/>
      <c r="P154" s="171"/>
      <c r="Q154" s="171"/>
      <c r="R154" s="80"/>
    </row>
    <row r="155" spans="2:36" s="28" customFormat="1" x14ac:dyDescent="0.2">
      <c r="B155"/>
      <c r="C155"/>
      <c r="D155"/>
      <c r="E155"/>
      <c r="F155"/>
      <c r="H155" s="81"/>
      <c r="I155" s="172"/>
      <c r="J155" s="172"/>
      <c r="K155" s="172"/>
      <c r="L155" s="82"/>
      <c r="N155" s="81"/>
      <c r="O155" s="172"/>
      <c r="P155" s="172"/>
      <c r="Q155" s="172"/>
      <c r="R155" s="82"/>
    </row>
    <row r="156" spans="2:36" s="28" customFormat="1" x14ac:dyDescent="0.2">
      <c r="K156" s="175"/>
    </row>
    <row r="157" spans="2:36" s="106" customFormat="1" ht="17" x14ac:dyDescent="0.2">
      <c r="B157" s="105" t="s">
        <v>136</v>
      </c>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row>
    <row r="159" spans="2:36" x14ac:dyDescent="0.2">
      <c r="B159" s="87" t="s">
        <v>137</v>
      </c>
      <c r="C159" s="173"/>
      <c r="D159" s="173"/>
      <c r="E159" s="173"/>
      <c r="F159" s="85"/>
      <c r="H159" s="87" t="s">
        <v>138</v>
      </c>
      <c r="I159" s="173"/>
      <c r="J159" s="173"/>
      <c r="K159" s="173"/>
      <c r="L159" s="85"/>
      <c r="N159" s="87" t="s">
        <v>139</v>
      </c>
      <c r="O159" s="173"/>
      <c r="P159" s="173"/>
      <c r="Q159" s="173"/>
      <c r="R159" s="85"/>
      <c r="T159" s="87" t="s">
        <v>140</v>
      </c>
      <c r="U159" s="173"/>
      <c r="V159" s="173"/>
      <c r="W159" s="173"/>
      <c r="X159" s="85"/>
      <c r="Z159" s="87" t="s">
        <v>141</v>
      </c>
      <c r="AA159" s="173"/>
      <c r="AB159" s="173"/>
      <c r="AC159" s="173"/>
      <c r="AD159" s="85"/>
      <c r="AF159" s="87" t="s">
        <v>142</v>
      </c>
      <c r="AG159" s="173"/>
      <c r="AH159" s="173"/>
      <c r="AI159" s="173"/>
      <c r="AJ159" s="85"/>
    </row>
    <row r="160" spans="2:36" x14ac:dyDescent="0.2">
      <c r="B160" s="125"/>
      <c r="C160" s="171"/>
      <c r="D160" s="171"/>
      <c r="E160" s="171"/>
      <c r="F160" s="80"/>
      <c r="H160" s="125"/>
      <c r="I160" s="171"/>
      <c r="J160" s="171"/>
      <c r="K160" s="171"/>
      <c r="L160" s="80"/>
      <c r="N160" s="125"/>
      <c r="O160" s="171"/>
      <c r="P160" s="171"/>
      <c r="Q160" s="171"/>
      <c r="R160" s="80"/>
      <c r="T160" s="125"/>
      <c r="U160" s="171"/>
      <c r="V160" s="171"/>
      <c r="W160" s="171"/>
      <c r="X160" s="80"/>
      <c r="Z160" s="125"/>
      <c r="AA160" s="171"/>
      <c r="AB160" s="171"/>
      <c r="AC160" s="171"/>
      <c r="AD160" s="80"/>
      <c r="AF160" s="125"/>
      <c r="AG160" s="171"/>
      <c r="AH160" s="171"/>
      <c r="AI160" s="171"/>
      <c r="AJ160" s="80"/>
    </row>
    <row r="161" spans="2:36" ht="17" thickBot="1" x14ac:dyDescent="0.25">
      <c r="B161" s="79"/>
      <c r="C161" s="171" t="s">
        <v>143</v>
      </c>
      <c r="D161" s="171" t="s">
        <v>144</v>
      </c>
      <c r="E161" s="171"/>
      <c r="F161" s="80"/>
      <c r="H161" s="109" t="s">
        <v>145</v>
      </c>
      <c r="I161" s="57" t="s">
        <v>146</v>
      </c>
      <c r="J161" s="171"/>
      <c r="K161" s="171"/>
      <c r="L161" s="80"/>
      <c r="N161" s="109" t="s">
        <v>145</v>
      </c>
      <c r="O161" s="57" t="s">
        <v>146</v>
      </c>
      <c r="P161" s="171"/>
      <c r="Q161" s="171"/>
      <c r="R161" s="80"/>
      <c r="T161" s="109" t="s">
        <v>145</v>
      </c>
      <c r="U161" s="57" t="s">
        <v>146</v>
      </c>
      <c r="V161" s="171"/>
      <c r="W161" s="171"/>
      <c r="X161" s="80"/>
      <c r="Z161" s="109" t="s">
        <v>145</v>
      </c>
      <c r="AA161" s="57" t="s">
        <v>146</v>
      </c>
      <c r="AB161" s="171"/>
      <c r="AC161" s="171"/>
      <c r="AD161" s="80"/>
      <c r="AF161" s="109" t="s">
        <v>145</v>
      </c>
      <c r="AG161" s="57" t="s">
        <v>146</v>
      </c>
      <c r="AH161" s="171"/>
      <c r="AI161" s="171"/>
      <c r="AJ161" s="80"/>
    </row>
    <row r="162" spans="2:36" ht="18" thickTop="1" thickBot="1" x14ac:dyDescent="0.25">
      <c r="B162" s="107" t="s">
        <v>147</v>
      </c>
      <c r="C162" s="252">
        <f>E111</f>
        <v>712.5</v>
      </c>
      <c r="D162" s="253">
        <f>SUMIF(C170:C174,"Blad &amp; stengelmateriaal",D170:D174)</f>
        <v>712.5</v>
      </c>
      <c r="E162" s="171" t="s">
        <v>78</v>
      </c>
      <c r="F162" s="80"/>
      <c r="H162" s="89" t="s">
        <v>148</v>
      </c>
      <c r="I162" s="60" t="str">
        <f>Product0129[[#Headers],[Plantdeel]]</f>
        <v>Plantdeel</v>
      </c>
      <c r="J162" s="171"/>
      <c r="K162" s="256" t="str" cm="1">
        <f t="array" ref="K162">_xlfn.XLOOKUP($H$162,Product0129[[#All],[Producten]],Product0129[[#All],[Plantdeel]])</f>
        <v>Blad &amp; stengelmateriaal</v>
      </c>
      <c r="L162" s="80"/>
      <c r="N162" s="89" t="s">
        <v>149</v>
      </c>
      <c r="O162" s="60" t="str">
        <f>Product0129[[#Headers],[Plantdeel]]</f>
        <v>Plantdeel</v>
      </c>
      <c r="P162" s="171"/>
      <c r="Q162" s="256" t="str" cm="1">
        <f t="array" ref="Q162">_xlfn.XLOOKUP($N$162,Product0129[[#All],[Producten]],Product0129[[#All],[Plantdeel]])</f>
        <v>Pluis</v>
      </c>
      <c r="R162" s="80"/>
      <c r="T162" s="89" t="s">
        <v>150</v>
      </c>
      <c r="U162" s="60" t="str">
        <f>Product0129[[#Headers],[Plantdeel]]</f>
        <v>Plantdeel</v>
      </c>
      <c r="V162" s="171"/>
      <c r="W162" s="256" t="str" cm="1">
        <f t="array" ref="W162">_xlfn.XLOOKUP($T$162,Product0129[[#All],[Producten]],Product0129[[#All],[Plantdeel]])</f>
        <v>Blad &amp; stengelmateriaal</v>
      </c>
      <c r="X162" s="80"/>
      <c r="Z162" s="89" t="s">
        <v>151</v>
      </c>
      <c r="AA162" s="60" t="str">
        <f>Product0129[[#Headers],[Plantdeel]]</f>
        <v>Plantdeel</v>
      </c>
      <c r="AB162" s="171"/>
      <c r="AC162" s="256" t="str" cm="1">
        <f t="array" ref="AC162">_xlfn.XLOOKUP($Z$162,Product0129[[#All],[Producten]],Product0129[[#All],[Plantdeel]])</f>
        <v>Blad &amp; stengelmateriaal</v>
      </c>
      <c r="AD162" s="80"/>
      <c r="AF162" s="89" t="s">
        <v>152</v>
      </c>
      <c r="AG162" s="60" t="str">
        <f>Product0129[[#Headers],[Plantdeel]]</f>
        <v>Plantdeel</v>
      </c>
      <c r="AH162" s="171"/>
      <c r="AI162" s="256" t="str" cm="1">
        <f t="array" ref="AI162">_xlfn.XLOOKUP($AF$162,Product0129[[#All],[Producten]],Product0129[[#All],[Plantdeel]])</f>
        <v>Blad &amp; stengelmateriaal</v>
      </c>
      <c r="AJ162" s="80"/>
    </row>
    <row r="163" spans="2:36" ht="17" thickTop="1" x14ac:dyDescent="0.2">
      <c r="B163" s="107" t="s">
        <v>153</v>
      </c>
      <c r="C163" s="252">
        <f>E112</f>
        <v>37.5</v>
      </c>
      <c r="D163" s="253">
        <f>SUMIF(C170:C174,"Pluis",D170:D174)</f>
        <v>37.5</v>
      </c>
      <c r="E163" s="171" t="s">
        <v>78</v>
      </c>
      <c r="F163" s="80"/>
      <c r="H163" s="79"/>
      <c r="I163" s="171" t="str">
        <f>Product0129[[#Headers],[DS-gehalte]]</f>
        <v>DS-gehalte</v>
      </c>
      <c r="J163" s="171"/>
      <c r="K163" s="257" cm="1">
        <f t="array" ref="K163">_xlfn.XLOOKUP($H$162,Product0129[[#All],[Producten]],Product0129[[#All],[DS-gehalte]])</f>
        <v>0.9</v>
      </c>
      <c r="L163" s="80"/>
      <c r="N163" s="79"/>
      <c r="O163" s="171" t="str">
        <f>Product0129[[#Headers],[DS-gehalte]]</f>
        <v>DS-gehalte</v>
      </c>
      <c r="P163" s="171"/>
      <c r="Q163" s="257" cm="1">
        <f t="array" ref="Q163">_xlfn.XLOOKUP($N$162,Product0129[[#All],[Producten]],Product0129[[#All],[DS-gehalte]])</f>
        <v>0.98</v>
      </c>
      <c r="R163" s="80"/>
      <c r="T163" s="79"/>
      <c r="U163" s="171" t="str">
        <f>Product0129[[#Headers],[DS-gehalte]]</f>
        <v>DS-gehalte</v>
      </c>
      <c r="V163" s="171"/>
      <c r="W163" s="257" cm="1">
        <f t="array" ref="W163">_xlfn.XLOOKUP($T$162,Product0129[[#All],[Producten]],Product0129[[#All],[DS-gehalte]])</f>
        <v>0.8</v>
      </c>
      <c r="X163" s="80"/>
      <c r="Z163" s="79"/>
      <c r="AA163" s="171" t="str">
        <f>Product0129[[#Headers],[DS-gehalte]]</f>
        <v>DS-gehalte</v>
      </c>
      <c r="AB163" s="171"/>
      <c r="AC163" s="257" cm="1">
        <f t="array" ref="AC163">_xlfn.XLOOKUP($Z$162,Product0129[[#All],[Producten]],Product0129[[#All],[DS-gehalte]])</f>
        <v>0.97</v>
      </c>
      <c r="AD163" s="80"/>
      <c r="AF163" s="79"/>
      <c r="AG163" s="171" t="str">
        <f>Product0129[[#Headers],[DS-gehalte]]</f>
        <v>DS-gehalte</v>
      </c>
      <c r="AH163" s="171"/>
      <c r="AI163" s="257" cm="1">
        <f t="array" ref="AI163">_xlfn.XLOOKUP($AF$162,Product0129[[#All],[Producten]],Product0129[[#All],[DS-gehalte]])</f>
        <v>0.9</v>
      </c>
      <c r="AJ163" s="80"/>
    </row>
    <row r="164" spans="2:36" x14ac:dyDescent="0.2">
      <c r="B164" s="289" t="s">
        <v>47</v>
      </c>
      <c r="C164" s="422">
        <f>SUM(C162:C163)</f>
        <v>750</v>
      </c>
      <c r="D164" s="423">
        <f>SUM(D162:D163)</f>
        <v>750</v>
      </c>
      <c r="E164" s="57" t="s">
        <v>78</v>
      </c>
      <c r="F164" s="80"/>
      <c r="H164" s="79"/>
      <c r="I164" s="171" t="str">
        <f>Product0129[[#Headers],[Fractielengte '[mm']]]</f>
        <v>Fractielengte [mm]</v>
      </c>
      <c r="J164" s="171"/>
      <c r="K164" s="256" t="str" cm="1">
        <f t="array" ref="K164">_xlfn.XLOOKUP($H$162,Product0129[[#All],[Producten]],Product0129[[#All],[Fractielengte '[mm']]])</f>
        <v>5-50</v>
      </c>
      <c r="L164" s="80"/>
      <c r="N164" s="79"/>
      <c r="O164" s="171" t="str">
        <f>Product0129[[#Headers],[Fractielengte '[mm']]]</f>
        <v>Fractielengte [mm]</v>
      </c>
      <c r="P164" s="171"/>
      <c r="Q164" s="256" t="str" cm="1">
        <f t="array" ref="Q164">_xlfn.XLOOKUP($N$162,Product0129[[#All],[Producten]],Product0129[[#All],[Fractielengte '[mm']]])</f>
        <v>Gehele pluis</v>
      </c>
      <c r="R164" s="80"/>
      <c r="T164" s="79"/>
      <c r="U164" s="171" t="str">
        <f>Product0129[[#Headers],[Fractielengte '[mm']]]</f>
        <v>Fractielengte [mm]</v>
      </c>
      <c r="V164" s="171"/>
      <c r="W164" s="256" cm="1">
        <f t="array" ref="W164">_xlfn.XLOOKUP($T$162,Product0129[[#All],[Producten]],Product0129[[#All],[Fractielengte '[mm']]])</f>
        <v>700</v>
      </c>
      <c r="X164" s="80"/>
      <c r="Z164" s="79"/>
      <c r="AA164" s="171" t="str">
        <f>Product0129[[#Headers],[Fractielengte '[mm']]]</f>
        <v>Fractielengte [mm]</v>
      </c>
      <c r="AB164" s="171"/>
      <c r="AC164" s="256" t="str" cm="1">
        <f t="array" ref="AC164">_xlfn.XLOOKUP($Z$162,Product0129[[#All],[Producten]],Product0129[[#All],[Fractielengte '[mm']]])</f>
        <v>0,1-0,35</v>
      </c>
      <c r="AD164" s="80"/>
      <c r="AF164" s="79"/>
      <c r="AG164" s="171" t="str">
        <f>Product0129[[#Headers],[Fractielengte '[mm']]]</f>
        <v>Fractielengte [mm]</v>
      </c>
      <c r="AH164" s="171"/>
      <c r="AI164" s="256" t="str" cm="1">
        <f t="array" ref="AI164">_xlfn.XLOOKUP($AF$162,Product0129[[#All],[Producten]],Product0129[[#All],[Fractielengte '[mm']]])</f>
        <v>0,5-2,5</v>
      </c>
      <c r="AJ164" s="80"/>
    </row>
    <row r="165" spans="2:36" x14ac:dyDescent="0.2">
      <c r="B165" s="81"/>
      <c r="C165" s="172"/>
      <c r="D165" s="172"/>
      <c r="E165" s="172"/>
      <c r="F165" s="82"/>
      <c r="H165" s="79"/>
      <c r="I165" s="171" t="str">
        <f>Product0129[[#Headers],[Fractiediameter (mm)]]</f>
        <v>Fractiediameter (mm)</v>
      </c>
      <c r="J165" s="171"/>
      <c r="K165" s="256" t="str" cm="1">
        <f t="array" ref="K165">_xlfn.XLOOKUP($H$162,Product0129[[#All],[Producten]],Product0129[[#All],[Fractiediameter (mm)]])</f>
        <v>5-50</v>
      </c>
      <c r="L165" s="80"/>
      <c r="N165" s="79"/>
      <c r="O165" s="171" t="str">
        <f>Product0129[[#Headers],[Fractiediameter (mm)]]</f>
        <v>Fractiediameter (mm)</v>
      </c>
      <c r="P165" s="171"/>
      <c r="Q165" s="256" t="str" cm="1">
        <f t="array" ref="Q165">_xlfn.XLOOKUP($N$162,Product0129[[#All],[Producten]],Product0129[[#All],[Fractiediameter (mm)]])</f>
        <v>Gehele pluis</v>
      </c>
      <c r="R165" s="80"/>
      <c r="T165" s="79"/>
      <c r="U165" s="171" t="str">
        <f>Product0129[[#Headers],[Fractiediameter (mm)]]</f>
        <v>Fractiediameter (mm)</v>
      </c>
      <c r="V165" s="171"/>
      <c r="W165" s="256" t="str" cm="1">
        <f t="array" ref="W165">_xlfn.XLOOKUP($T$162,Product0129[[#All],[Producten]],Product0129[[#All],[Fractiediameter (mm)]])</f>
        <v>3-6</v>
      </c>
      <c r="X165" s="80"/>
      <c r="Z165" s="79"/>
      <c r="AA165" s="171" t="str">
        <f>Product0129[[#Headers],[Fractiediameter (mm)]]</f>
        <v>Fractiediameter (mm)</v>
      </c>
      <c r="AB165" s="171"/>
      <c r="AC165" s="256" t="str" cm="1">
        <f t="array" ref="AC165">_xlfn.XLOOKUP($Z$162,Product0129[[#All],[Producten]],Product0129[[#All],[Fractiediameter (mm)]])</f>
        <v>0,1</v>
      </c>
      <c r="AD165" s="80"/>
      <c r="AF165" s="79"/>
      <c r="AG165" s="171" t="str">
        <f>Product0129[[#Headers],[Fractiediameter (mm)]]</f>
        <v>Fractiediameter (mm)</v>
      </c>
      <c r="AH165" s="171"/>
      <c r="AI165" s="256" t="str" cm="1">
        <f t="array" ref="AI165">_xlfn.XLOOKUP($AF$162,Product0129[[#All],[Producten]],Product0129[[#All],[Fractiediameter (mm)]])</f>
        <v>0,1-0,25</v>
      </c>
      <c r="AJ165" s="80"/>
    </row>
    <row r="166" spans="2:36" x14ac:dyDescent="0.2">
      <c r="H166" s="79"/>
      <c r="I166" s="171"/>
      <c r="J166" s="171"/>
      <c r="K166" s="256"/>
      <c r="L166" s="80"/>
      <c r="N166" s="79"/>
      <c r="O166" s="171"/>
      <c r="P166" s="171"/>
      <c r="Q166" s="204"/>
      <c r="R166" s="80"/>
      <c r="T166" s="79"/>
      <c r="U166" s="171"/>
      <c r="V166" s="171"/>
      <c r="W166" s="204"/>
      <c r="X166" s="80"/>
      <c r="Z166" s="79"/>
      <c r="AA166" s="171"/>
      <c r="AB166" s="171"/>
      <c r="AC166" s="204"/>
      <c r="AD166" s="80"/>
      <c r="AF166" s="79"/>
      <c r="AG166" s="171"/>
      <c r="AH166" s="171"/>
      <c r="AI166" s="204"/>
      <c r="AJ166" s="80"/>
    </row>
    <row r="167" spans="2:36" ht="17" thickBot="1" x14ac:dyDescent="0.25">
      <c r="B167" s="86" t="s">
        <v>154</v>
      </c>
      <c r="C167" s="78"/>
      <c r="D167" s="111"/>
      <c r="E167" s="111"/>
      <c r="F167" s="112"/>
      <c r="H167" s="79"/>
      <c r="I167" s="90" t="s">
        <v>25</v>
      </c>
      <c r="J167" s="92" t="s">
        <v>26</v>
      </c>
      <c r="K167" s="171"/>
      <c r="L167" s="80"/>
      <c r="N167" s="79"/>
      <c r="O167" s="90" t="s">
        <v>25</v>
      </c>
      <c r="P167" s="92" t="s">
        <v>26</v>
      </c>
      <c r="Q167" s="171"/>
      <c r="R167" s="80"/>
      <c r="T167" s="79"/>
      <c r="U167" s="90" t="s">
        <v>25</v>
      </c>
      <c r="V167" s="92" t="s">
        <v>26</v>
      </c>
      <c r="W167" s="171"/>
      <c r="X167" s="80"/>
      <c r="Z167" s="79"/>
      <c r="AA167" s="90" t="s">
        <v>25</v>
      </c>
      <c r="AB167" s="92" t="s">
        <v>26</v>
      </c>
      <c r="AC167" s="171"/>
      <c r="AD167" s="80"/>
      <c r="AF167" s="79"/>
      <c r="AG167" s="90" t="s">
        <v>25</v>
      </c>
      <c r="AH167" s="92" t="s">
        <v>26</v>
      </c>
      <c r="AI167" s="171"/>
      <c r="AJ167" s="80"/>
    </row>
    <row r="168" spans="2:36" ht="18" thickTop="1" thickBot="1" x14ac:dyDescent="0.25">
      <c r="B168" s="108"/>
      <c r="C168" s="57"/>
      <c r="D168" s="393"/>
      <c r="E168" s="393"/>
      <c r="F168" s="394"/>
      <c r="H168" s="109" t="s">
        <v>155</v>
      </c>
      <c r="I168" s="69" t="s">
        <v>52</v>
      </c>
      <c r="J168" s="208"/>
      <c r="K168" s="171" cm="1">
        <f t="array" ref="K168">IF(ISBLANK(J168),INDEX(Product01[[#All],[Geen]:[Waarde MIN]],_xlfn.XMATCH(H162,Product01[[#All],[Producten]]),_xlfn.XMATCH('SCENARIO 2 - Beste geval'!I168,Product01[[#Headers],[Geen]:[Waarde MIN]])),J168)</f>
        <v>1500</v>
      </c>
      <c r="L168" s="80" t="s">
        <v>92</v>
      </c>
      <c r="N168" s="109" t="s">
        <v>155</v>
      </c>
      <c r="O168" s="69" t="s">
        <v>52</v>
      </c>
      <c r="P168" s="208"/>
      <c r="Q168" s="171" cm="1">
        <f t="array" ref="Q168">IF(ISBLANK(P168),INDEX(Product01[[#All],[Geen]:[Waarde MIN]],_xlfn.XMATCH(N162,Product01[[#All],[Producten]]),_xlfn.XMATCH('SCENARIO 2 - Beste geval'!O168,Product01[[#Headers],[Geen]:[Waarde MIN]])),P168)</f>
        <v>1790</v>
      </c>
      <c r="R168" s="80" t="s">
        <v>92</v>
      </c>
      <c r="T168" s="109" t="s">
        <v>155</v>
      </c>
      <c r="U168" s="69" t="s">
        <v>52</v>
      </c>
      <c r="V168" s="208"/>
      <c r="W168" s="171" cm="1">
        <f t="array" ref="W168">IF(ISBLANK(V168),INDEX(Product01[[#All],[Geen]:[Waarde MIN]],_xlfn.XMATCH(T162,Product01[[#All],[Producten]]),_xlfn.XMATCH('SCENARIO 2 - Beste geval'!U168,Product01[[#Headers],[Geen]:[Waarde MIN]])),V168)</f>
        <v>900</v>
      </c>
      <c r="X168" s="80" t="s">
        <v>92</v>
      </c>
      <c r="Z168" s="109" t="s">
        <v>155</v>
      </c>
      <c r="AA168" s="69" t="s">
        <v>52</v>
      </c>
      <c r="AB168" s="208"/>
      <c r="AC168" s="171" cm="1">
        <f t="array" ref="AC168">IF(ISBLANK(AB168),INDEX(Product01[[#All],[Geen]:[Waarde MIN]],_xlfn.XMATCH(Z162,Product01[[#All],[Producten]]),_xlfn.XMATCH('SCENARIO 2 - Beste geval'!AA168,Product01[[#Headers],[Geen]:[Waarde MIN]])),AB168)</f>
        <v>500</v>
      </c>
      <c r="AD168" s="80" t="s">
        <v>92</v>
      </c>
      <c r="AF168" s="109" t="s">
        <v>155</v>
      </c>
      <c r="AG168" s="69" t="s">
        <v>52</v>
      </c>
      <c r="AH168" s="208"/>
      <c r="AI168" s="171" cm="1">
        <f t="array" ref="AI168">IF(ISBLANK(AH168),INDEX(Product01[[#All],[Geen]:[Waarde MIN]],_xlfn.XMATCH(AF162,Product01[[#All],[Producten]]),_xlfn.XMATCH('SCENARIO 2 - Beste geval'!AG168,Product01[[#Headers],[Geen]:[Waarde MIN]])),AH168)</f>
        <v>300</v>
      </c>
      <c r="AJ168" s="80" t="s">
        <v>92</v>
      </c>
    </row>
    <row r="169" spans="2:36" ht="17" thickTop="1" x14ac:dyDescent="0.2">
      <c r="B169" s="109" t="s">
        <v>156</v>
      </c>
      <c r="C169" s="57" t="s">
        <v>157</v>
      </c>
      <c r="D169" s="393" t="s">
        <v>158</v>
      </c>
      <c r="E169" s="393" t="s">
        <v>159</v>
      </c>
      <c r="F169" s="394" t="s">
        <v>160</v>
      </c>
      <c r="H169" s="79"/>
      <c r="I169" s="171"/>
      <c r="J169" s="171"/>
      <c r="K169" s="171"/>
      <c r="L169" s="80"/>
      <c r="N169" s="79"/>
      <c r="O169" s="171"/>
      <c r="P169" s="171"/>
      <c r="Q169" s="171"/>
      <c r="R169" s="80"/>
      <c r="T169" s="79"/>
      <c r="U169" s="171"/>
      <c r="V169" s="171"/>
      <c r="W169" s="171"/>
      <c r="X169" s="80"/>
      <c r="Z169" s="79"/>
      <c r="AA169" s="171"/>
      <c r="AB169" s="171"/>
      <c r="AC169" s="171"/>
      <c r="AD169" s="80"/>
      <c r="AF169" s="79"/>
      <c r="AG169" s="171"/>
      <c r="AH169" s="171"/>
      <c r="AI169" s="171"/>
      <c r="AJ169" s="80"/>
    </row>
    <row r="170" spans="2:36" x14ac:dyDescent="0.2">
      <c r="B170" s="79" t="str">
        <f>H162</f>
        <v>Bouw - Inblaasisolatie</v>
      </c>
      <c r="C170" s="171" t="str">
        <f>K162</f>
        <v>Blad &amp; stengelmateriaal</v>
      </c>
      <c r="D170" s="254">
        <f>K181</f>
        <v>178.5</v>
      </c>
      <c r="E170" s="110">
        <f>K170</f>
        <v>297500</v>
      </c>
      <c r="F170" s="113">
        <f>K178</f>
        <v>295496.83333333331</v>
      </c>
      <c r="H170" s="109" t="s">
        <v>161</v>
      </c>
      <c r="I170" s="123">
        <f>K168</f>
        <v>1500</v>
      </c>
      <c r="J170" s="57" t="s">
        <v>92</v>
      </c>
      <c r="K170" s="65">
        <f>I170*K229</f>
        <v>297500</v>
      </c>
      <c r="L170" s="184" t="s">
        <v>49</v>
      </c>
      <c r="N170" s="109" t="s">
        <v>161</v>
      </c>
      <c r="O170" s="123">
        <f>Q168</f>
        <v>1790</v>
      </c>
      <c r="P170" s="57" t="s">
        <v>92</v>
      </c>
      <c r="Q170" s="65">
        <f>O170*Q229</f>
        <v>68494.897959183683</v>
      </c>
      <c r="R170" s="184" t="s">
        <v>49</v>
      </c>
      <c r="T170" s="109" t="s">
        <v>161</v>
      </c>
      <c r="U170" s="123">
        <f>W168</f>
        <v>900</v>
      </c>
      <c r="V170" s="57" t="s">
        <v>92</v>
      </c>
      <c r="W170" s="65">
        <f>U170*W229</f>
        <v>178000</v>
      </c>
      <c r="X170" s="184" t="s">
        <v>49</v>
      </c>
      <c r="Z170" s="109" t="s">
        <v>161</v>
      </c>
      <c r="AA170" s="123">
        <f>AC168</f>
        <v>500</v>
      </c>
      <c r="AB170" s="57" t="s">
        <v>92</v>
      </c>
      <c r="AC170" s="65">
        <f>AA170*AC229</f>
        <v>91752.577319587625</v>
      </c>
      <c r="AD170" s="184" t="s">
        <v>49</v>
      </c>
      <c r="AF170" s="109" t="s">
        <v>161</v>
      </c>
      <c r="AG170" s="123">
        <f>AI168</f>
        <v>300</v>
      </c>
      <c r="AH170" s="57" t="s">
        <v>92</v>
      </c>
      <c r="AI170" s="65">
        <f>AG170*AI229</f>
        <v>59333.333333333328</v>
      </c>
      <c r="AJ170" s="184" t="s">
        <v>49</v>
      </c>
    </row>
    <row r="171" spans="2:36" x14ac:dyDescent="0.2">
      <c r="B171" s="79" t="str">
        <f>N162</f>
        <v>Bouw - Beton - Droge mortel - Versterker</v>
      </c>
      <c r="C171" s="171" t="str">
        <f>Q162</f>
        <v>Pluis</v>
      </c>
      <c r="D171" s="254">
        <f>Q181</f>
        <v>37.5</v>
      </c>
      <c r="E171" s="110">
        <f>Q170</f>
        <v>68494.897959183683</v>
      </c>
      <c r="F171" s="113">
        <f>Q178</f>
        <v>65918.835034013624</v>
      </c>
      <c r="H171" s="79"/>
      <c r="I171" s="262"/>
      <c r="J171" s="171"/>
      <c r="K171" s="55"/>
      <c r="L171" s="80"/>
      <c r="N171" s="79"/>
      <c r="O171" s="262"/>
      <c r="P171" s="171"/>
      <c r="Q171" s="55"/>
      <c r="R171" s="80"/>
      <c r="T171" s="79"/>
      <c r="U171" s="262"/>
      <c r="V171" s="171"/>
      <c r="W171" s="55"/>
      <c r="X171" s="80"/>
      <c r="Z171" s="79"/>
      <c r="AA171" s="262"/>
      <c r="AB171" s="171"/>
      <c r="AC171" s="55"/>
      <c r="AD171" s="80"/>
      <c r="AF171" s="79"/>
      <c r="AG171" s="262"/>
      <c r="AH171" s="171"/>
      <c r="AI171" s="55"/>
      <c r="AJ171" s="80"/>
    </row>
    <row r="172" spans="2:36" x14ac:dyDescent="0.2">
      <c r="B172" s="79" t="str">
        <f>T162</f>
        <v>Bouw - Isolatieplaat (Typha Board)</v>
      </c>
      <c r="C172" s="171" t="str">
        <f>W162</f>
        <v>Blad &amp; stengelmateriaal</v>
      </c>
      <c r="D172" s="254">
        <f>W181</f>
        <v>178</v>
      </c>
      <c r="E172" s="110">
        <f>W170</f>
        <v>178000</v>
      </c>
      <c r="F172" s="113">
        <f>W178</f>
        <v>176002.44444444444</v>
      </c>
      <c r="H172" s="187" t="str">
        <f>H198</f>
        <v>Droogkosten</v>
      </c>
      <c r="I172" s="263">
        <f>IFERROR(K172/$K$229,0)</f>
        <v>0</v>
      </c>
      <c r="J172" s="104" t="s">
        <v>92</v>
      </c>
      <c r="K172" s="197">
        <f>K198</f>
        <v>0</v>
      </c>
      <c r="L172" s="185" t="s">
        <v>49</v>
      </c>
      <c r="N172" s="187" t="str">
        <f>N198</f>
        <v>Droogkosten</v>
      </c>
      <c r="O172" s="263">
        <f>IFERROR(Q172/$Q$229,0)</f>
        <v>44.444444444444365</v>
      </c>
      <c r="P172" s="104" t="s">
        <v>92</v>
      </c>
      <c r="Q172" s="197">
        <f>Q198</f>
        <v>1700.6802721088407</v>
      </c>
      <c r="R172" s="185" t="s">
        <v>49</v>
      </c>
      <c r="T172" s="187" t="str">
        <f>T198</f>
        <v>Droogkosten</v>
      </c>
      <c r="U172" s="263">
        <f>IFERROR(W172/$W$229,0)</f>
        <v>0</v>
      </c>
      <c r="V172" s="104" t="s">
        <v>92</v>
      </c>
      <c r="W172" s="197">
        <f>W198</f>
        <v>0</v>
      </c>
      <c r="X172" s="185" t="s">
        <v>49</v>
      </c>
      <c r="Z172" s="187" t="str">
        <f>Z198</f>
        <v>Droogkosten</v>
      </c>
      <c r="AA172" s="263">
        <f>IFERROR(AC172/$AC$229,0)</f>
        <v>23.333333333333321</v>
      </c>
      <c r="AB172" s="104" t="s">
        <v>92</v>
      </c>
      <c r="AC172" s="197">
        <f>AC198</f>
        <v>4281.7869415807536</v>
      </c>
      <c r="AD172" s="185" t="s">
        <v>49</v>
      </c>
      <c r="AF172" s="187" t="str">
        <f>AF198</f>
        <v>Droogkosten</v>
      </c>
      <c r="AG172" s="263">
        <f>IFERROR(AI172/$AI$229,0)</f>
        <v>0</v>
      </c>
      <c r="AH172" s="104" t="s">
        <v>92</v>
      </c>
      <c r="AI172" s="197">
        <f>AI198</f>
        <v>0</v>
      </c>
      <c r="AJ172" s="185" t="s">
        <v>49</v>
      </c>
    </row>
    <row r="173" spans="2:36" x14ac:dyDescent="0.2">
      <c r="B173" s="79" t="str">
        <f>Z162</f>
        <v xml:space="preserve">Plastics - Spuitgieten - Vuller </v>
      </c>
      <c r="C173" s="171" t="str">
        <f>AC162</f>
        <v>Blad &amp; stengelmateriaal</v>
      </c>
      <c r="D173" s="254">
        <f>AC181</f>
        <v>178</v>
      </c>
      <c r="E173" s="110">
        <f>AC170</f>
        <v>91752.577319587625</v>
      </c>
      <c r="F173" s="113">
        <f>AC178</f>
        <v>84195.529209621993</v>
      </c>
      <c r="H173" s="187" t="str">
        <f>H202</f>
        <v>Verwerkingsstap 1</v>
      </c>
      <c r="I173" s="263">
        <f>IFERROR(K173/$K$229,0)</f>
        <v>5</v>
      </c>
      <c r="J173" s="104" t="s">
        <v>92</v>
      </c>
      <c r="K173" s="197">
        <f>K211</f>
        <v>991.66666666666652</v>
      </c>
      <c r="L173" s="185" t="s">
        <v>49</v>
      </c>
      <c r="N173" s="187" t="str">
        <f>N202</f>
        <v>Verwerkingsstap 1</v>
      </c>
      <c r="O173" s="263">
        <f>IFERROR(Q173/$Q$229,0)</f>
        <v>14.999999999999998</v>
      </c>
      <c r="P173" s="104" t="s">
        <v>92</v>
      </c>
      <c r="Q173" s="197">
        <f>Q211</f>
        <v>573.9795918367347</v>
      </c>
      <c r="R173" s="185" t="s">
        <v>49</v>
      </c>
      <c r="T173" s="187" t="str">
        <f>T202</f>
        <v>Verwerkingsstap 1</v>
      </c>
      <c r="U173" s="263">
        <f t="shared" ref="U173:U176" si="2">IFERROR(W173/$W$229,0)</f>
        <v>5</v>
      </c>
      <c r="V173" s="104" t="s">
        <v>92</v>
      </c>
      <c r="W173" s="197">
        <f>W211</f>
        <v>988.88888888888891</v>
      </c>
      <c r="X173" s="185" t="s">
        <v>49</v>
      </c>
      <c r="Z173" s="187" t="str">
        <f>Z202</f>
        <v>Verwerkingsstap 1</v>
      </c>
      <c r="AA173" s="263">
        <f t="shared" ref="AA173:AA176" si="3">IFERROR(AC173/$AC$229,0)</f>
        <v>5</v>
      </c>
      <c r="AB173" s="104" t="s">
        <v>92</v>
      </c>
      <c r="AC173" s="197">
        <f>AC211</f>
        <v>917.52577319587635</v>
      </c>
      <c r="AD173" s="185" t="s">
        <v>49</v>
      </c>
      <c r="AF173" s="187" t="str">
        <f>AF202</f>
        <v>Verwerkingsstap 1</v>
      </c>
      <c r="AG173" s="263">
        <f t="shared" ref="AG173:AG176" si="4">IFERROR(AI173/$AI$229,0)</f>
        <v>5</v>
      </c>
      <c r="AH173" s="104" t="s">
        <v>92</v>
      </c>
      <c r="AI173" s="197">
        <f>AI211</f>
        <v>988.88888888888891</v>
      </c>
      <c r="AJ173" s="185" t="s">
        <v>49</v>
      </c>
    </row>
    <row r="174" spans="2:36" ht="17" thickBot="1" x14ac:dyDescent="0.25">
      <c r="B174" s="114" t="str">
        <f>AF162</f>
        <v>Papier - Massief karton - Vuller</v>
      </c>
      <c r="C174" s="115" t="str">
        <f>AI162</f>
        <v>Blad &amp; stengelmateriaal</v>
      </c>
      <c r="D174" s="255">
        <f>AI181</f>
        <v>178</v>
      </c>
      <c r="E174" s="116">
        <f>AI170</f>
        <v>59333.333333333328</v>
      </c>
      <c r="F174" s="117">
        <f>AI178</f>
        <v>56346.888888888883</v>
      </c>
      <c r="H174" s="187" t="str">
        <f>H215</f>
        <v>Verwerkingsstap 2</v>
      </c>
      <c r="I174" s="263">
        <f>IFERROR(K174/$K$229,0)</f>
        <v>0</v>
      </c>
      <c r="J174" s="104" t="s">
        <v>92</v>
      </c>
      <c r="K174" s="197">
        <f>K224</f>
        <v>0</v>
      </c>
      <c r="L174" s="185" t="s">
        <v>49</v>
      </c>
      <c r="N174" s="187" t="str">
        <f>N215</f>
        <v>Verwerkingsstap 2</v>
      </c>
      <c r="O174" s="263">
        <f>IFERROR(Q174/$Q$229,0)</f>
        <v>0</v>
      </c>
      <c r="P174" s="104" t="s">
        <v>92</v>
      </c>
      <c r="Q174" s="197">
        <f>Q224</f>
        <v>0</v>
      </c>
      <c r="R174" s="185" t="s">
        <v>49</v>
      </c>
      <c r="T174" s="187" t="str">
        <f>T215</f>
        <v>Verwerkingsstap 2</v>
      </c>
      <c r="U174" s="263">
        <f t="shared" si="2"/>
        <v>0</v>
      </c>
      <c r="V174" s="104" t="s">
        <v>92</v>
      </c>
      <c r="W174" s="197">
        <f>W224</f>
        <v>0</v>
      </c>
      <c r="X174" s="185" t="s">
        <v>49</v>
      </c>
      <c r="Z174" s="187" t="str">
        <f>Z215</f>
        <v>Verwerkingsstap 2</v>
      </c>
      <c r="AA174" s="263">
        <f t="shared" si="3"/>
        <v>5</v>
      </c>
      <c r="AB174" s="104" t="s">
        <v>92</v>
      </c>
      <c r="AC174" s="197">
        <f>AC224</f>
        <v>917.52577319587635</v>
      </c>
      <c r="AD174" s="185" t="s">
        <v>49</v>
      </c>
      <c r="AF174" s="187" t="str">
        <f>AF215</f>
        <v>Verwerkingsstap 2</v>
      </c>
      <c r="AG174" s="263">
        <f t="shared" si="4"/>
        <v>5</v>
      </c>
      <c r="AH174" s="104" t="s">
        <v>92</v>
      </c>
      <c r="AI174" s="197">
        <f>AI224</f>
        <v>988.88888888888891</v>
      </c>
      <c r="AJ174" s="185" t="s">
        <v>49</v>
      </c>
    </row>
    <row r="175" spans="2:36" ht="17" thickTop="1" x14ac:dyDescent="0.2">
      <c r="B175" s="118" t="s">
        <v>47</v>
      </c>
      <c r="C175" s="119"/>
      <c r="D175" s="120"/>
      <c r="E175" s="121">
        <f>SUM(E170:E174)</f>
        <v>695080.80861210462</v>
      </c>
      <c r="F175" s="122">
        <f>SUM(F170:F174)</f>
        <v>677960.53091030219</v>
      </c>
      <c r="H175" s="187" t="str">
        <f>H184</f>
        <v xml:space="preserve">Afvoerkosten restproduct </v>
      </c>
      <c r="I175" s="263">
        <f>IFERROR(K175/$K$229,0)</f>
        <v>0</v>
      </c>
      <c r="J175" s="104" t="s">
        <v>92</v>
      </c>
      <c r="K175" s="178">
        <f>SUM(K226,K213,K200)*K184</f>
        <v>0</v>
      </c>
      <c r="L175" s="185" t="s">
        <v>49</v>
      </c>
      <c r="N175" s="187" t="str">
        <f>N184</f>
        <v xml:space="preserve">Afvoerkosten restproduct </v>
      </c>
      <c r="O175" s="263">
        <f>IFERROR(Q175/$Q$229,0)</f>
        <v>0</v>
      </c>
      <c r="P175" s="104" t="s">
        <v>92</v>
      </c>
      <c r="Q175" s="178">
        <f>SUM(Q226,Q213,Q200)*Q184</f>
        <v>0</v>
      </c>
      <c r="R175" s="185" t="s">
        <v>49</v>
      </c>
      <c r="T175" s="187" t="str">
        <f>T184</f>
        <v xml:space="preserve">Afvoerkosten restproduct </v>
      </c>
      <c r="U175" s="263">
        <f t="shared" si="2"/>
        <v>0</v>
      </c>
      <c r="V175" s="104" t="s">
        <v>92</v>
      </c>
      <c r="W175" s="178">
        <f>SUM(W226,W213,W200)*W184</f>
        <v>0</v>
      </c>
      <c r="X175" s="185" t="s">
        <v>49</v>
      </c>
      <c r="Z175" s="187" t="str">
        <f>Z184</f>
        <v xml:space="preserve">Afvoerkosten restproduct </v>
      </c>
      <c r="AA175" s="263">
        <f t="shared" si="3"/>
        <v>0</v>
      </c>
      <c r="AB175" s="104" t="s">
        <v>92</v>
      </c>
      <c r="AC175" s="178">
        <f>SUM(AC226,AC213,AC200)*AC184</f>
        <v>0</v>
      </c>
      <c r="AD175" s="185" t="s">
        <v>49</v>
      </c>
      <c r="AF175" s="187" t="str">
        <f>AF184</f>
        <v xml:space="preserve">Afvoerkosten restproduct </v>
      </c>
      <c r="AG175" s="263">
        <f t="shared" si="4"/>
        <v>0</v>
      </c>
      <c r="AH175" s="104" t="s">
        <v>92</v>
      </c>
      <c r="AI175" s="178">
        <f>SUM(AI226,AI213,AI200)*AI184</f>
        <v>0</v>
      </c>
      <c r="AJ175" s="185" t="s">
        <v>49</v>
      </c>
    </row>
    <row r="176" spans="2:36" x14ac:dyDescent="0.2">
      <c r="H176" s="187" t="s">
        <v>162</v>
      </c>
      <c r="I176" s="263">
        <f>IFERROR(K176/$K$229,0)</f>
        <v>5.0999999999999996</v>
      </c>
      <c r="J176" s="104" t="s">
        <v>92</v>
      </c>
      <c r="K176" s="197">
        <f>SUM(K194,K207,K220,K233)</f>
        <v>1011.4999999999999</v>
      </c>
      <c r="L176" s="185" t="s">
        <v>49</v>
      </c>
      <c r="N176" s="187" t="s">
        <v>162</v>
      </c>
      <c r="O176" s="263">
        <f>IFERROR(Q176/$Q$229,0)</f>
        <v>7.8766666666666652</v>
      </c>
      <c r="P176" s="104" t="s">
        <v>92</v>
      </c>
      <c r="Q176" s="197">
        <f>SUM(Q194,Q207,Q220,Q233)</f>
        <v>301.40306122448976</v>
      </c>
      <c r="R176" s="185" t="s">
        <v>49</v>
      </c>
      <c r="T176" s="187" t="s">
        <v>162</v>
      </c>
      <c r="U176" s="263">
        <f t="shared" si="2"/>
        <v>5.0999999999999996</v>
      </c>
      <c r="V176" s="104" t="s">
        <v>92</v>
      </c>
      <c r="W176" s="197">
        <f>SUM(W194,W207,W220,W233)</f>
        <v>1008.6666666666665</v>
      </c>
      <c r="X176" s="185" t="s">
        <v>49</v>
      </c>
      <c r="Z176" s="187" t="s">
        <v>162</v>
      </c>
      <c r="AA176" s="263">
        <f t="shared" si="3"/>
        <v>7.8483333333333327</v>
      </c>
      <c r="AB176" s="104" t="s">
        <v>92</v>
      </c>
      <c r="AC176" s="197">
        <f>SUM(AC194,AC207,AC220,AC233)</f>
        <v>1440.209621993127</v>
      </c>
      <c r="AD176" s="185" t="s">
        <v>49</v>
      </c>
      <c r="AF176" s="187" t="s">
        <v>162</v>
      </c>
      <c r="AG176" s="263">
        <f t="shared" si="4"/>
        <v>5.0999999999999996</v>
      </c>
      <c r="AH176" s="104" t="s">
        <v>92</v>
      </c>
      <c r="AI176" s="197">
        <f>SUM(AI194,AI207,AI220,AI233)</f>
        <v>1008.6666666666665</v>
      </c>
      <c r="AJ176" s="185" t="s">
        <v>49</v>
      </c>
    </row>
    <row r="177" spans="2:36" ht="19" x14ac:dyDescent="0.35">
      <c r="H177" s="109" t="s">
        <v>121</v>
      </c>
      <c r="I177" s="261">
        <f>SUM(I172:I176)</f>
        <v>10.1</v>
      </c>
      <c r="J177" s="57" t="s">
        <v>92</v>
      </c>
      <c r="K177" s="261">
        <f>SUM(K172:K176)</f>
        <v>2003.1666666666665</v>
      </c>
      <c r="L177" s="184" t="s">
        <v>49</v>
      </c>
      <c r="N177" s="109" t="s">
        <v>121</v>
      </c>
      <c r="O177" s="261">
        <f>SUM(O172:O176)</f>
        <v>67.321111111111037</v>
      </c>
      <c r="P177" s="57" t="s">
        <v>92</v>
      </c>
      <c r="Q177" s="261">
        <f>SUM(Q172:Q176)</f>
        <v>2576.0629251700648</v>
      </c>
      <c r="R177" s="184" t="s">
        <v>49</v>
      </c>
      <c r="T177" s="109" t="s">
        <v>121</v>
      </c>
      <c r="U177" s="261">
        <f>SUM(U172:U176)</f>
        <v>10.1</v>
      </c>
      <c r="V177" s="57" t="s">
        <v>92</v>
      </c>
      <c r="W177" s="261">
        <f>SUM(W172:W176)</f>
        <v>1997.5555555555554</v>
      </c>
      <c r="X177" s="184" t="s">
        <v>49</v>
      </c>
      <c r="Z177" s="109" t="s">
        <v>121</v>
      </c>
      <c r="AA177" s="261">
        <f>SUM(AA172:AA176)</f>
        <v>41.181666666666658</v>
      </c>
      <c r="AB177" s="57" t="s">
        <v>92</v>
      </c>
      <c r="AC177" s="261">
        <f>SUM(AC172:AC176)</f>
        <v>7557.0481099656336</v>
      </c>
      <c r="AD177" s="184" t="s">
        <v>49</v>
      </c>
      <c r="AF177" s="109" t="s">
        <v>121</v>
      </c>
      <c r="AG177" s="261">
        <f>SUM(AG172:AG176)</f>
        <v>15.1</v>
      </c>
      <c r="AH177" s="57" t="s">
        <v>92</v>
      </c>
      <c r="AI177" s="261">
        <f>SUM(AI172:AI176)</f>
        <v>2986.4444444444443</v>
      </c>
      <c r="AJ177" s="184" t="s">
        <v>49</v>
      </c>
    </row>
    <row r="178" spans="2:36" x14ac:dyDescent="0.2">
      <c r="H178" s="109" t="s">
        <v>163</v>
      </c>
      <c r="I178" s="65">
        <f>I170-I177</f>
        <v>1489.9</v>
      </c>
      <c r="J178" s="57" t="s">
        <v>92</v>
      </c>
      <c r="K178" s="65">
        <f>K170-K177</f>
        <v>295496.83333333331</v>
      </c>
      <c r="L178" s="184" t="s">
        <v>49</v>
      </c>
      <c r="N178" s="109" t="s">
        <v>163</v>
      </c>
      <c r="O178" s="65">
        <f>O170-O177</f>
        <v>1722.6788888888889</v>
      </c>
      <c r="P178" s="57" t="s">
        <v>92</v>
      </c>
      <c r="Q178" s="65">
        <f>Q170-Q177</f>
        <v>65918.835034013624</v>
      </c>
      <c r="R178" s="184" t="s">
        <v>49</v>
      </c>
      <c r="T178" s="109" t="s">
        <v>163</v>
      </c>
      <c r="U178" s="65">
        <f>U170-U177</f>
        <v>889.9</v>
      </c>
      <c r="V178" s="57" t="s">
        <v>92</v>
      </c>
      <c r="W178" s="65">
        <f>W170-W177</f>
        <v>176002.44444444444</v>
      </c>
      <c r="X178" s="184" t="s">
        <v>49</v>
      </c>
      <c r="Z178" s="109" t="s">
        <v>163</v>
      </c>
      <c r="AA178" s="65">
        <f>AA170-AA177</f>
        <v>458.81833333333333</v>
      </c>
      <c r="AB178" s="57" t="s">
        <v>92</v>
      </c>
      <c r="AC178" s="65">
        <f>AC170-AC177</f>
        <v>84195.529209621993</v>
      </c>
      <c r="AD178" s="184" t="s">
        <v>49</v>
      </c>
      <c r="AF178" s="109" t="s">
        <v>163</v>
      </c>
      <c r="AG178" s="65">
        <f>AG170-AG177</f>
        <v>284.89999999999998</v>
      </c>
      <c r="AH178" s="57" t="s">
        <v>92</v>
      </c>
      <c r="AI178" s="65">
        <f>AI170-AI177</f>
        <v>56346.888888888883</v>
      </c>
      <c r="AJ178" s="184" t="s">
        <v>49</v>
      </c>
    </row>
    <row r="179" spans="2:36" x14ac:dyDescent="0.2">
      <c r="H179" s="79"/>
      <c r="I179" s="171"/>
      <c r="J179" s="171"/>
      <c r="K179" s="262"/>
      <c r="L179" s="80"/>
      <c r="N179" s="79"/>
      <c r="O179" s="171"/>
      <c r="P179" s="171"/>
      <c r="Q179" s="171"/>
      <c r="R179" s="80"/>
      <c r="T179" s="79"/>
      <c r="U179" s="171"/>
      <c r="V179" s="171"/>
      <c r="W179" s="171"/>
      <c r="X179" s="80"/>
      <c r="Z179" s="79"/>
      <c r="AA179" s="171"/>
      <c r="AB179" s="171"/>
      <c r="AC179" s="171"/>
      <c r="AD179" s="80"/>
      <c r="AF179" s="79"/>
      <c r="AG179" s="171"/>
      <c r="AH179" s="171"/>
      <c r="AI179" s="171"/>
      <c r="AJ179" s="80"/>
    </row>
    <row r="180" spans="2:36" x14ac:dyDescent="0.2">
      <c r="H180" s="109" t="s">
        <v>164</v>
      </c>
      <c r="I180" s="90" t="s">
        <v>25</v>
      </c>
      <c r="J180" s="92" t="s">
        <v>26</v>
      </c>
      <c r="K180" s="171"/>
      <c r="L180" s="80"/>
      <c r="N180" s="109" t="s">
        <v>164</v>
      </c>
      <c r="O180" s="90" t="s">
        <v>25</v>
      </c>
      <c r="P180" s="92" t="s">
        <v>26</v>
      </c>
      <c r="Q180" s="171"/>
      <c r="R180" s="80"/>
      <c r="T180" s="109" t="s">
        <v>164</v>
      </c>
      <c r="U180" s="90" t="s">
        <v>25</v>
      </c>
      <c r="V180" s="92" t="s">
        <v>26</v>
      </c>
      <c r="W180" s="171"/>
      <c r="X180" s="80"/>
      <c r="Z180" s="109" t="s">
        <v>164</v>
      </c>
      <c r="AA180" s="90" t="s">
        <v>25</v>
      </c>
      <c r="AB180" s="92" t="s">
        <v>26</v>
      </c>
      <c r="AC180" s="171"/>
      <c r="AD180" s="80"/>
      <c r="AF180" s="109" t="s">
        <v>164</v>
      </c>
      <c r="AG180" s="90" t="s">
        <v>25</v>
      </c>
      <c r="AH180" s="92" t="s">
        <v>26</v>
      </c>
      <c r="AI180" s="171"/>
      <c r="AJ180" s="80"/>
    </row>
    <row r="181" spans="2:36" ht="17" thickBot="1" x14ac:dyDescent="0.25">
      <c r="C181" s="421"/>
      <c r="H181" s="79" t="s">
        <v>80</v>
      </c>
      <c r="I181" s="67"/>
      <c r="J181" s="62">
        <v>178.5</v>
      </c>
      <c r="K181" s="220">
        <f>IF(H162="Geen",0,J181)</f>
        <v>178.5</v>
      </c>
      <c r="L181" s="80" t="s">
        <v>81</v>
      </c>
      <c r="N181" s="79" t="s">
        <v>80</v>
      </c>
      <c r="O181" s="67"/>
      <c r="P181" s="62">
        <v>37.5</v>
      </c>
      <c r="Q181" s="192">
        <f>IF(N162="Geen",0,P181)</f>
        <v>37.5</v>
      </c>
      <c r="R181" s="80" t="s">
        <v>81</v>
      </c>
      <c r="T181" s="79" t="s">
        <v>80</v>
      </c>
      <c r="U181" s="67"/>
      <c r="V181" s="62">
        <v>178</v>
      </c>
      <c r="W181" s="192">
        <f>IF(T162="Geen",0,V181)</f>
        <v>178</v>
      </c>
      <c r="X181" s="80" t="s">
        <v>81</v>
      </c>
      <c r="Z181" s="79" t="s">
        <v>80</v>
      </c>
      <c r="AA181" s="67"/>
      <c r="AB181" s="62">
        <v>178</v>
      </c>
      <c r="AC181" s="192">
        <f>IF(Z162="Geen",0,AB181)</f>
        <v>178</v>
      </c>
      <c r="AD181" s="80" t="s">
        <v>81</v>
      </c>
      <c r="AF181" s="79" t="s">
        <v>80</v>
      </c>
      <c r="AG181" s="67"/>
      <c r="AH181" s="62">
        <v>178</v>
      </c>
      <c r="AI181" s="192">
        <f>IF(AF162="Geen",0,AH181)</f>
        <v>178</v>
      </c>
      <c r="AJ181" s="80" t="s">
        <v>81</v>
      </c>
    </row>
    <row r="182" spans="2:36" ht="18" thickTop="1" thickBot="1" x14ac:dyDescent="0.25">
      <c r="B182" s="421"/>
      <c r="E182" s="28"/>
      <c r="H182" s="79" t="str">
        <f>'DATA - Variabelen &amp; waarden'!$B$274</f>
        <v>Drogestofgehalte input (feb/mrt)</v>
      </c>
      <c r="I182" s="69" t="s">
        <v>52</v>
      </c>
      <c r="J182" s="70"/>
      <c r="K182" s="66" cm="1">
        <f t="array" ref="K182">IF($O$110="Ja",$Q$116,IF(ISBLANK(J182),INDEX(VoorDroog[[#All],[Geen]:[Waarde MIN]],_xlfn.XMATCH('SCENARIO 2 - Beste geval'!H182,VoorDroog[[#All],[Voordrogen]]),_xlfn.XMATCH('SCENARIO 2 - Beste geval'!I182,VoorDroog[[#Headers],[Geen]:[Waarde MIN]])),J182))</f>
        <v>0.9</v>
      </c>
      <c r="L182" s="80" t="s">
        <v>83</v>
      </c>
      <c r="N182" s="79" t="str">
        <f>'DATA - Variabelen &amp; waarden'!$B$274</f>
        <v>Drogestofgehalte input (feb/mrt)</v>
      </c>
      <c r="O182" s="69" t="s">
        <v>52</v>
      </c>
      <c r="P182" s="70"/>
      <c r="Q182" s="66" cm="1">
        <f t="array" ref="Q182">IF($O$110="Ja",$Q$116,IF(ISBLANK(P182),INDEX(VoorDroog[[#All],[Geen]:[Waarde MIN]],_xlfn.XMATCH('SCENARIO 2 - Beste geval'!N182,VoorDroog[[#All],[Voordrogen]]),_xlfn.XMATCH('SCENARIO 2 - Beste geval'!O182,VoorDroog[[#Headers],[Geen]:[Waarde MIN]])),P182))</f>
        <v>0.9</v>
      </c>
      <c r="R182" s="80" t="s">
        <v>83</v>
      </c>
      <c r="T182" s="79" t="str">
        <f>'DATA - Variabelen &amp; waarden'!$B$274</f>
        <v>Drogestofgehalte input (feb/mrt)</v>
      </c>
      <c r="U182" s="69" t="s">
        <v>52</v>
      </c>
      <c r="V182" s="70"/>
      <c r="W182" s="66" cm="1">
        <f t="array" ref="W182">IF($O$110="Ja",$Q$116,IF(ISBLANK(V182),INDEX(VoorDroog[[#All],[Geen]:[Waarde MIN]],_xlfn.XMATCH('SCENARIO 2 - Beste geval'!T182,VoorDroog[[#All],[Voordrogen]]),_xlfn.XMATCH('SCENARIO 2 - Beste geval'!U182,VoorDroog[[#Headers],[Geen]:[Waarde MIN]])),V182))</f>
        <v>0.9</v>
      </c>
      <c r="X182" s="80" t="s">
        <v>83</v>
      </c>
      <c r="Z182" s="79" t="str">
        <f>'DATA - Variabelen &amp; waarden'!$B$274</f>
        <v>Drogestofgehalte input (feb/mrt)</v>
      </c>
      <c r="AA182" s="69" t="s">
        <v>52</v>
      </c>
      <c r="AB182" s="70"/>
      <c r="AC182" s="66" cm="1">
        <f t="array" ref="AC182">IF($O$110="Ja",$Q$116,IF(ISBLANK(AB182),INDEX(VoorDroog[[#All],[Geen]:[Waarde MIN]],_xlfn.XMATCH('SCENARIO 2 - Beste geval'!Z182,VoorDroog[[#All],[Voordrogen]]),_xlfn.XMATCH('SCENARIO 2 - Beste geval'!AA182,VoorDroog[[#Headers],[Geen]:[Waarde MIN]])),AB182))</f>
        <v>0.9</v>
      </c>
      <c r="AD182" s="80" t="s">
        <v>83</v>
      </c>
      <c r="AF182" s="79" t="str">
        <f>'DATA - Variabelen &amp; waarden'!$B$274</f>
        <v>Drogestofgehalte input (feb/mrt)</v>
      </c>
      <c r="AG182" s="69" t="s">
        <v>52</v>
      </c>
      <c r="AH182" s="70"/>
      <c r="AI182" s="66" cm="1">
        <f t="array" ref="AI182">IF($O$110="Ja",$Q$116,IF(ISBLANK(AH182),INDEX(VoorDroog[[#All],[Geen]:[Waarde MIN]],_xlfn.XMATCH('SCENARIO 2 - Beste geval'!AF182,VoorDroog[[#All],[Voordrogen]]),_xlfn.XMATCH('SCENARIO 2 - Beste geval'!AG182,VoorDroog[[#Headers],[Geen]:[Waarde MIN]])),AH182))</f>
        <v>0.9</v>
      </c>
      <c r="AJ182" s="80" t="s">
        <v>83</v>
      </c>
    </row>
    <row r="183" spans="2:36" ht="18" thickTop="1" thickBot="1" x14ac:dyDescent="0.25">
      <c r="H183" s="207" t="s">
        <v>85</v>
      </c>
      <c r="I183" s="195"/>
      <c r="J183" s="195"/>
      <c r="K183" s="220">
        <f>IFERROR(K181/K182,0)</f>
        <v>198.33333333333331</v>
      </c>
      <c r="L183" s="190" t="s">
        <v>86</v>
      </c>
      <c r="N183" s="187" t="s">
        <v>85</v>
      </c>
      <c r="O183" s="104"/>
      <c r="P183" s="104"/>
      <c r="Q183" s="215">
        <f>IFERROR(Q181/Q182,0)</f>
        <v>41.666666666666664</v>
      </c>
      <c r="R183" s="185" t="s">
        <v>86</v>
      </c>
      <c r="T183" s="187" t="s">
        <v>85</v>
      </c>
      <c r="U183" s="104"/>
      <c r="V183" s="104"/>
      <c r="W183" s="215">
        <f>IFERROR(W181/W182,0)</f>
        <v>197.77777777777777</v>
      </c>
      <c r="X183" s="185" t="s">
        <v>86</v>
      </c>
      <c r="Z183" s="187" t="s">
        <v>85</v>
      </c>
      <c r="AA183" s="104"/>
      <c r="AB183" s="104"/>
      <c r="AC183" s="215">
        <f>IFERROR(AC181/AC182,0)</f>
        <v>197.77777777777777</v>
      </c>
      <c r="AD183" s="185" t="s">
        <v>86</v>
      </c>
      <c r="AF183" s="187" t="s">
        <v>85</v>
      </c>
      <c r="AG183" s="104"/>
      <c r="AH183" s="104"/>
      <c r="AI183" s="215">
        <f>IFERROR(AI181/AI182,0)</f>
        <v>197.77777777777777</v>
      </c>
      <c r="AJ183" s="185" t="s">
        <v>86</v>
      </c>
    </row>
    <row r="184" spans="2:36" ht="18" thickTop="1" thickBot="1" x14ac:dyDescent="0.25">
      <c r="D184" s="28"/>
      <c r="E184" s="28"/>
      <c r="H184" s="358" t="s">
        <v>165</v>
      </c>
      <c r="I184" s="69" t="s">
        <v>51</v>
      </c>
      <c r="J184" s="242"/>
      <c r="K184" s="68" cm="1">
        <f t="array" ref="K184">IF(ISBLANK(J184),_xlfn.XLOOKUP(I184,Tabel37[[#Headers],[Geen]:[Waarde MIN]],'DATA - Variabelen &amp; waarden'!$D$383:$G$383,"Selecteer waarde"),J184)</f>
        <v>7.5</v>
      </c>
      <c r="L184" s="190" t="s">
        <v>92</v>
      </c>
      <c r="N184" s="199" t="s">
        <v>165</v>
      </c>
      <c r="O184" s="69" t="s">
        <v>51</v>
      </c>
      <c r="P184" s="242"/>
      <c r="Q184" s="68" cm="1">
        <f t="array" ref="Q184">IF(ISBLANK(P184),_xlfn.XLOOKUP(O184,Tabel37[[#Headers],[Geen]:[Waarde MIN]],'DATA - Variabelen &amp; waarden'!$D$383:$G$383,"Selecteer waarde"),P184)</f>
        <v>7.5</v>
      </c>
      <c r="R184" s="190" t="s">
        <v>92</v>
      </c>
      <c r="T184" s="199" t="s">
        <v>165</v>
      </c>
      <c r="U184" s="69" t="s">
        <v>51</v>
      </c>
      <c r="V184" s="242"/>
      <c r="W184" s="68" cm="1">
        <f t="array" ref="W184">IF(ISBLANK(V184),_xlfn.XLOOKUP(U184,Tabel37[[#Headers],[Geen]:[Waarde MIN]],'DATA - Variabelen &amp; waarden'!$D$383:$G$383,"Selecteer waarde"),V184)</f>
        <v>7.5</v>
      </c>
      <c r="X184" s="190" t="s">
        <v>92</v>
      </c>
      <c r="Z184" s="199" t="s">
        <v>165</v>
      </c>
      <c r="AA184" s="69" t="s">
        <v>51</v>
      </c>
      <c r="AB184" s="242"/>
      <c r="AC184" s="68" cm="1">
        <f t="array" ref="AC184">IF(ISBLANK(AB184),_xlfn.XLOOKUP(AA184,Tabel37[[#Headers],[Geen]:[Waarde MIN]],'DATA - Variabelen &amp; waarden'!$D$383:$G$383,"Selecteer waarde"),AB184)</f>
        <v>7.5</v>
      </c>
      <c r="AD184" s="190" t="s">
        <v>92</v>
      </c>
      <c r="AF184" s="199" t="s">
        <v>165</v>
      </c>
      <c r="AG184" s="69" t="s">
        <v>51</v>
      </c>
      <c r="AH184" s="242"/>
      <c r="AI184" s="68" cm="1">
        <f t="array" ref="AI184">IF(ISBLANK(AH184),_xlfn.XLOOKUP(AG184,Tabel37[[#Headers],[Geen]:[Waarde MIN]],'DATA - Variabelen &amp; waarden'!$D$383:$G$383,"Selecteer waarde"),AH184)</f>
        <v>7.5</v>
      </c>
      <c r="AJ184" s="190" t="s">
        <v>92</v>
      </c>
    </row>
    <row r="185" spans="2:36" ht="18" thickTop="1" thickBot="1" x14ac:dyDescent="0.25">
      <c r="H185" s="79" t="s">
        <v>166</v>
      </c>
      <c r="I185" s="69" t="s">
        <v>76</v>
      </c>
      <c r="J185" s="171"/>
      <c r="K185" s="171"/>
      <c r="L185" s="80"/>
      <c r="N185" s="79" t="s">
        <v>166</v>
      </c>
      <c r="O185" s="69" t="s">
        <v>167</v>
      </c>
      <c r="P185" s="171"/>
      <c r="Q185" s="171"/>
      <c r="R185" s="80"/>
      <c r="T185" s="79" t="s">
        <v>166</v>
      </c>
      <c r="U185" s="69" t="s">
        <v>76</v>
      </c>
      <c r="V185" s="171"/>
      <c r="W185" s="171"/>
      <c r="X185" s="80"/>
      <c r="Z185" s="79" t="s">
        <v>166</v>
      </c>
      <c r="AA185" s="69" t="s">
        <v>167</v>
      </c>
      <c r="AB185" s="171"/>
      <c r="AC185" s="171"/>
      <c r="AD185" s="80"/>
      <c r="AF185" s="79" t="s">
        <v>166</v>
      </c>
      <c r="AG185" s="69" t="s">
        <v>76</v>
      </c>
      <c r="AH185" s="171"/>
      <c r="AI185" s="171"/>
      <c r="AJ185" s="80"/>
    </row>
    <row r="186" spans="2:36" ht="17" thickTop="1" x14ac:dyDescent="0.2">
      <c r="B186" s="268"/>
      <c r="H186" s="79"/>
      <c r="I186" s="171"/>
      <c r="J186" s="171"/>
      <c r="K186" s="171"/>
      <c r="L186" s="80"/>
      <c r="N186" s="79"/>
      <c r="O186" s="171"/>
      <c r="P186" s="171"/>
      <c r="Q186" s="171"/>
      <c r="R186" s="80"/>
      <c r="T186" s="79"/>
      <c r="U186" s="171"/>
      <c r="V186" s="171"/>
      <c r="W186" s="171"/>
      <c r="X186" s="80"/>
      <c r="Z186" s="79"/>
      <c r="AA186" s="171"/>
      <c r="AB186" s="171"/>
      <c r="AC186" s="171"/>
      <c r="AD186" s="80"/>
      <c r="AF186" s="79"/>
      <c r="AG186" s="171"/>
      <c r="AH186" s="171"/>
      <c r="AI186" s="171"/>
      <c r="AJ186" s="80"/>
    </row>
    <row r="187" spans="2:36" x14ac:dyDescent="0.2">
      <c r="B187" s="268"/>
      <c r="H187" s="109" t="s">
        <v>111</v>
      </c>
      <c r="I187" s="171"/>
      <c r="J187" s="171"/>
      <c r="K187" s="171"/>
      <c r="L187" s="80"/>
      <c r="N187" s="109" t="s">
        <v>111</v>
      </c>
      <c r="O187" s="171"/>
      <c r="P187" s="171"/>
      <c r="Q187" s="171"/>
      <c r="R187" s="80"/>
      <c r="T187" s="109" t="s">
        <v>111</v>
      </c>
      <c r="U187" s="171"/>
      <c r="V187" s="171"/>
      <c r="W187" s="171"/>
      <c r="X187" s="80"/>
      <c r="Z187" s="109" t="s">
        <v>111</v>
      </c>
      <c r="AA187" s="171"/>
      <c r="AB187" s="171"/>
      <c r="AC187" s="171"/>
      <c r="AD187" s="80"/>
      <c r="AF187" s="109" t="s">
        <v>111</v>
      </c>
      <c r="AG187" s="171"/>
      <c r="AH187" s="171"/>
      <c r="AI187" s="171"/>
      <c r="AJ187" s="80"/>
    </row>
    <row r="188" spans="2:36" x14ac:dyDescent="0.2">
      <c r="B188" s="268"/>
      <c r="C188" s="421"/>
      <c r="H188" s="187" t="s">
        <v>168</v>
      </c>
      <c r="I188" s="104"/>
      <c r="J188" s="104"/>
      <c r="K188" s="214">
        <f>K163</f>
        <v>0.9</v>
      </c>
      <c r="L188" s="185" t="s">
        <v>83</v>
      </c>
      <c r="N188" s="187" t="s">
        <v>168</v>
      </c>
      <c r="O188" s="104"/>
      <c r="P188" s="104"/>
      <c r="Q188" s="214">
        <f>Q163</f>
        <v>0.98</v>
      </c>
      <c r="R188" s="185" t="s">
        <v>83</v>
      </c>
      <c r="T188" s="187" t="s">
        <v>168</v>
      </c>
      <c r="U188" s="104"/>
      <c r="V188" s="104"/>
      <c r="W188" s="214">
        <f>W163</f>
        <v>0.8</v>
      </c>
      <c r="X188" s="185" t="s">
        <v>83</v>
      </c>
      <c r="Z188" s="187" t="s">
        <v>168</v>
      </c>
      <c r="AA188" s="104"/>
      <c r="AB188" s="104"/>
      <c r="AC188" s="214">
        <f>AC163</f>
        <v>0.97</v>
      </c>
      <c r="AD188" s="185" t="s">
        <v>83</v>
      </c>
      <c r="AF188" s="187" t="s">
        <v>168</v>
      </c>
      <c r="AG188" s="104"/>
      <c r="AH188" s="104"/>
      <c r="AI188" s="214">
        <f>AI163</f>
        <v>0.9</v>
      </c>
      <c r="AJ188" s="185" t="s">
        <v>83</v>
      </c>
    </row>
    <row r="189" spans="2:36" x14ac:dyDescent="0.2">
      <c r="B189" s="268"/>
      <c r="H189" s="207" t="s">
        <v>88</v>
      </c>
      <c r="I189" s="195"/>
      <c r="J189" s="195"/>
      <c r="K189" s="259">
        <f>IFERROR(IF(K182&lt;K188,K181/K188,K181),0)</f>
        <v>178.5</v>
      </c>
      <c r="L189" s="190" t="s">
        <v>86</v>
      </c>
      <c r="N189" s="207" t="s">
        <v>88</v>
      </c>
      <c r="O189" s="195"/>
      <c r="P189" s="195"/>
      <c r="Q189" s="232">
        <f>IFERROR(IF(Q182&lt;Q188,Q181/Q188,Q181),0)</f>
        <v>38.265306122448983</v>
      </c>
      <c r="R189" s="190" t="s">
        <v>86</v>
      </c>
      <c r="T189" s="207" t="s">
        <v>88</v>
      </c>
      <c r="U189" s="195"/>
      <c r="V189" s="195"/>
      <c r="W189" s="232">
        <f>IFERROR(IF(W182&lt;W188,W181/W188,W181),0)</f>
        <v>178</v>
      </c>
      <c r="X189" s="190" t="s">
        <v>86</v>
      </c>
      <c r="Z189" s="207" t="s">
        <v>88</v>
      </c>
      <c r="AA189" s="195"/>
      <c r="AB189" s="195"/>
      <c r="AC189" s="232">
        <f>IFERROR(IF(AC182&lt;AC188,AC181/AC188,AC181),0)</f>
        <v>183.50515463917526</v>
      </c>
      <c r="AD189" s="190" t="s">
        <v>86</v>
      </c>
      <c r="AF189" s="207" t="s">
        <v>88</v>
      </c>
      <c r="AG189" s="195"/>
      <c r="AH189" s="195"/>
      <c r="AI189" s="232">
        <f>IFERROR(IF(AI182&lt;AI188,AI181/AI188,AI181),0)</f>
        <v>178</v>
      </c>
      <c r="AJ189" s="190" t="s">
        <v>86</v>
      </c>
    </row>
    <row r="190" spans="2:36" x14ac:dyDescent="0.2">
      <c r="B190" s="268"/>
      <c r="H190" s="207" t="s">
        <v>89</v>
      </c>
      <c r="I190" s="195"/>
      <c r="J190" s="195"/>
      <c r="K190" s="259">
        <f>IF(K182&lt;K188,K183-K189,0)</f>
        <v>0</v>
      </c>
      <c r="L190" s="190" t="s">
        <v>86</v>
      </c>
      <c r="N190" s="207" t="s">
        <v>89</v>
      </c>
      <c r="O190" s="195"/>
      <c r="P190" s="195"/>
      <c r="Q190" s="232">
        <f>IF(Q182&lt;Q188,Q183-Q189,0)</f>
        <v>3.4013605442176811</v>
      </c>
      <c r="R190" s="190" t="s">
        <v>86</v>
      </c>
      <c r="T190" s="207" t="s">
        <v>89</v>
      </c>
      <c r="U190" s="195"/>
      <c r="V190" s="195"/>
      <c r="W190" s="232">
        <f>IF(W182&lt;W188,W183-W189,0)</f>
        <v>0</v>
      </c>
      <c r="X190" s="190" t="s">
        <v>86</v>
      </c>
      <c r="Z190" s="207" t="s">
        <v>89</v>
      </c>
      <c r="AA190" s="195"/>
      <c r="AB190" s="195"/>
      <c r="AC190" s="232">
        <f>IF(AC182&lt;AC188,AC183-AC189,0)</f>
        <v>14.272623138602512</v>
      </c>
      <c r="AD190" s="190" t="s">
        <v>86</v>
      </c>
      <c r="AF190" s="207" t="s">
        <v>89</v>
      </c>
      <c r="AG190" s="195"/>
      <c r="AH190" s="195"/>
      <c r="AI190" s="232">
        <f>IF(AI182&lt;AI188,AI183-AI189,0)</f>
        <v>0</v>
      </c>
      <c r="AJ190" s="190" t="s">
        <v>86</v>
      </c>
    </row>
    <row r="191" spans="2:36" x14ac:dyDescent="0.2">
      <c r="B191" s="268"/>
      <c r="H191" s="251" t="s">
        <v>169</v>
      </c>
      <c r="I191" s="90" t="s">
        <v>25</v>
      </c>
      <c r="J191" s="92" t="s">
        <v>26</v>
      </c>
      <c r="K191" s="171"/>
      <c r="L191" s="80"/>
      <c r="N191" s="251" t="s">
        <v>169</v>
      </c>
      <c r="O191" s="90" t="s">
        <v>25</v>
      </c>
      <c r="P191" s="92" t="s">
        <v>26</v>
      </c>
      <c r="Q191" s="171"/>
      <c r="R191" s="80"/>
      <c r="T191" s="251" t="s">
        <v>169</v>
      </c>
      <c r="U191" s="90" t="s">
        <v>25</v>
      </c>
      <c r="V191" s="92" t="s">
        <v>26</v>
      </c>
      <c r="W191" s="171"/>
      <c r="X191" s="80"/>
      <c r="Z191" s="251" t="s">
        <v>169</v>
      </c>
      <c r="AA191" s="90" t="s">
        <v>25</v>
      </c>
      <c r="AB191" s="92" t="s">
        <v>26</v>
      </c>
      <c r="AC191" s="171"/>
      <c r="AD191" s="80"/>
      <c r="AF191" s="251" t="s">
        <v>169</v>
      </c>
      <c r="AG191" s="90" t="s">
        <v>25</v>
      </c>
      <c r="AH191" s="92" t="s">
        <v>26</v>
      </c>
      <c r="AI191" s="171"/>
      <c r="AJ191" s="80"/>
    </row>
    <row r="192" spans="2:36" ht="17" thickBot="1" x14ac:dyDescent="0.25">
      <c r="B192" s="268"/>
      <c r="H192" s="187" t="s">
        <v>96</v>
      </c>
      <c r="I192" s="171"/>
      <c r="J192" s="62">
        <v>85</v>
      </c>
      <c r="K192" s="104">
        <f>J192</f>
        <v>85</v>
      </c>
      <c r="L192" s="185" t="s">
        <v>97</v>
      </c>
      <c r="N192" s="187" t="s">
        <v>96</v>
      </c>
      <c r="O192" s="171"/>
      <c r="P192" s="62">
        <v>85</v>
      </c>
      <c r="Q192" s="104">
        <f>P192</f>
        <v>85</v>
      </c>
      <c r="R192" s="185" t="s">
        <v>97</v>
      </c>
      <c r="T192" s="187" t="s">
        <v>96</v>
      </c>
      <c r="U192" s="171"/>
      <c r="V192" s="62">
        <v>85</v>
      </c>
      <c r="W192" s="104">
        <f>V192</f>
        <v>85</v>
      </c>
      <c r="X192" s="185" t="s">
        <v>97</v>
      </c>
      <c r="Z192" s="187" t="s">
        <v>96</v>
      </c>
      <c r="AA192" s="171"/>
      <c r="AB192" s="62">
        <v>85</v>
      </c>
      <c r="AC192" s="104">
        <f>AB192</f>
        <v>85</v>
      </c>
      <c r="AD192" s="185" t="s">
        <v>97</v>
      </c>
      <c r="AF192" s="187" t="s">
        <v>96</v>
      </c>
      <c r="AG192" s="171"/>
      <c r="AH192" s="62">
        <v>85</v>
      </c>
      <c r="AI192" s="104">
        <f>AH192</f>
        <v>85</v>
      </c>
      <c r="AJ192" s="185" t="s">
        <v>97</v>
      </c>
    </row>
    <row r="193" spans="2:36" ht="18" thickTop="1" thickBot="1" x14ac:dyDescent="0.25">
      <c r="B193" s="268"/>
      <c r="H193" s="237" t="s">
        <v>99</v>
      </c>
      <c r="I193" s="69" t="s">
        <v>51</v>
      </c>
      <c r="J193" s="62"/>
      <c r="K193" s="236" cm="1">
        <f t="array" ref="K193">IF(ISBLANK(J193),INDEX(ProcesCost01[[#All],[Geen]:[Waarde MIN]],_xlfn.XMATCH('SCENARIO 2 - Beste geval'!H193,ProcesCost01[[#All],[Transportkosten]]),_xlfn.XMATCH('SCENARIO 2 - Beste geval'!I193,ProcesCost01[[#Headers],[Geen]:[Waarde MIN]])),J193)</f>
        <v>0.03</v>
      </c>
      <c r="L193" s="185" t="s">
        <v>100</v>
      </c>
      <c r="N193" s="237" t="s">
        <v>99</v>
      </c>
      <c r="O193" s="69" t="s">
        <v>51</v>
      </c>
      <c r="P193" s="62"/>
      <c r="Q193" s="236" cm="1">
        <f t="array" ref="Q193">IF(ISBLANK(P193),INDEX(ProcesCost01[[#All],[Geen]:[Waarde MIN]],_xlfn.XMATCH('SCENARIO 2 - Beste geval'!N193,ProcesCost01[[#All],[Transportkosten]]),_xlfn.XMATCH('SCENARIO 2 - Beste geval'!O193,ProcesCost01[[#Headers],[Geen]:[Waarde MIN]])),P193)</f>
        <v>0.03</v>
      </c>
      <c r="R193" s="185" t="s">
        <v>100</v>
      </c>
      <c r="T193" s="237" t="s">
        <v>99</v>
      </c>
      <c r="U193" s="69" t="s">
        <v>51</v>
      </c>
      <c r="V193" s="62"/>
      <c r="W193" s="236" cm="1">
        <f t="array" ref="W193">IF(ISBLANK(V193),INDEX(ProcesCost01[[#All],[Geen]:[Waarde MIN]],_xlfn.XMATCH('SCENARIO 2 - Beste geval'!T193,ProcesCost01[[#All],[Transportkosten]]),_xlfn.XMATCH('SCENARIO 2 - Beste geval'!U193,ProcesCost01[[#Headers],[Geen]:[Waarde MIN]])),V193)</f>
        <v>0.03</v>
      </c>
      <c r="X193" s="185" t="s">
        <v>100</v>
      </c>
      <c r="Z193" s="237" t="s">
        <v>99</v>
      </c>
      <c r="AA193" s="69" t="s">
        <v>51</v>
      </c>
      <c r="AB193" s="62"/>
      <c r="AC193" s="236" cm="1">
        <f t="array" ref="AC193">IF(ISBLANK(AB193),INDEX(ProcesCost01[[#All],[Geen]:[Waarde MIN]],_xlfn.XMATCH('SCENARIO 2 - Beste geval'!Z193,ProcesCost01[[#All],[Transportkosten]]),_xlfn.XMATCH('SCENARIO 2 - Beste geval'!AA193,ProcesCost01[[#Headers],[Geen]:[Waarde MIN]])),AB193)</f>
        <v>0.03</v>
      </c>
      <c r="AD193" s="185" t="s">
        <v>100</v>
      </c>
      <c r="AF193" s="237" t="s">
        <v>99</v>
      </c>
      <c r="AG193" s="69" t="s">
        <v>51</v>
      </c>
      <c r="AH193" s="62"/>
      <c r="AI193" s="236" cm="1">
        <f t="array" ref="AI193">IF(ISBLANK(AH193),INDEX(ProcesCost01[[#All],[Geen]:[Waarde MIN]],_xlfn.XMATCH('SCENARIO 2 - Beste geval'!AF193,ProcesCost01[[#All],[Transportkosten]]),_xlfn.XMATCH('SCENARIO 2 - Beste geval'!AG193,ProcesCost01[[#Headers],[Geen]:[Waarde MIN]])),AH193)</f>
        <v>0.03</v>
      </c>
      <c r="AJ193" s="185" t="s">
        <v>100</v>
      </c>
    </row>
    <row r="194" spans="2:36" ht="17" thickTop="1" x14ac:dyDescent="0.2">
      <c r="B194" s="268"/>
      <c r="H194" s="207" t="s">
        <v>101</v>
      </c>
      <c r="I194" s="171"/>
      <c r="J194" s="62"/>
      <c r="K194" s="192">
        <f>IF(K182&lt;K188,IF(I185="Nee",0,IF(ISBLANK(J194),K192*K193*K183,J194)),0)</f>
        <v>0</v>
      </c>
      <c r="L194" s="80" t="s">
        <v>102</v>
      </c>
      <c r="N194" s="207" t="s">
        <v>101</v>
      </c>
      <c r="O194" s="171"/>
      <c r="P194" s="62"/>
      <c r="Q194" s="192">
        <f>IF(Q182&lt;Q188,IF(O185="Nee",0,IF(ISBLANK(P194),Q192*Q193*Q183,P194)),0)</f>
        <v>106.24999999999999</v>
      </c>
      <c r="R194" s="80" t="s">
        <v>102</v>
      </c>
      <c r="T194" s="207" t="s">
        <v>101</v>
      </c>
      <c r="U194" s="171"/>
      <c r="V194" s="62"/>
      <c r="W194" s="192">
        <f>IF(W182&lt;W188,IF(U185="Nee",0,IF(ISBLANK(V194),W192*W193*W183,V194)),0)</f>
        <v>0</v>
      </c>
      <c r="X194" s="80" t="s">
        <v>102</v>
      </c>
      <c r="Z194" s="207" t="s">
        <v>101</v>
      </c>
      <c r="AA194" s="171"/>
      <c r="AB194" s="62"/>
      <c r="AC194" s="192">
        <f>IF(AC182&lt;AC188,IF(AA185="Nee",0,IF(ISBLANK(AB194),AC192*AC193*AC183,AB194)),0)</f>
        <v>504.33333333333326</v>
      </c>
      <c r="AD194" s="80" t="s">
        <v>102</v>
      </c>
      <c r="AF194" s="207" t="s">
        <v>101</v>
      </c>
      <c r="AG194" s="171"/>
      <c r="AH194" s="62"/>
      <c r="AI194" s="192">
        <f>IF(AI182&lt;AI188,IF(AG185="Nee",0,IF(ISBLANK(AH194),AI192*AI193*AI183,AH194)),0)</f>
        <v>0</v>
      </c>
      <c r="AJ194" s="80" t="s">
        <v>102</v>
      </c>
    </row>
    <row r="195" spans="2:36" ht="17" thickBot="1" x14ac:dyDescent="0.25">
      <c r="B195" s="268"/>
      <c r="H195" s="251" t="s">
        <v>170</v>
      </c>
      <c r="I195" s="90" t="s">
        <v>25</v>
      </c>
      <c r="J195" s="92" t="s">
        <v>26</v>
      </c>
      <c r="K195" s="171"/>
      <c r="L195" s="80"/>
      <c r="N195" s="251" t="s">
        <v>170</v>
      </c>
      <c r="O195" s="90" t="s">
        <v>25</v>
      </c>
      <c r="P195" s="92" t="s">
        <v>26</v>
      </c>
      <c r="Q195" s="171"/>
      <c r="R195" s="80"/>
      <c r="T195" s="251" t="s">
        <v>170</v>
      </c>
      <c r="U195" s="90" t="s">
        <v>25</v>
      </c>
      <c r="V195" s="92" t="s">
        <v>26</v>
      </c>
      <c r="W195" s="171"/>
      <c r="X195" s="80"/>
      <c r="Z195" s="251" t="s">
        <v>170</v>
      </c>
      <c r="AA195" s="90" t="s">
        <v>25</v>
      </c>
      <c r="AB195" s="92" t="s">
        <v>26</v>
      </c>
      <c r="AC195" s="171"/>
      <c r="AD195" s="80"/>
      <c r="AF195" s="251" t="s">
        <v>170</v>
      </c>
      <c r="AG195" s="90" t="s">
        <v>25</v>
      </c>
      <c r="AH195" s="92" t="s">
        <v>26</v>
      </c>
      <c r="AI195" s="171"/>
      <c r="AJ195" s="80"/>
    </row>
    <row r="196" spans="2:36" ht="18" thickTop="1" thickBot="1" x14ac:dyDescent="0.25">
      <c r="H196" s="237" t="s">
        <v>114</v>
      </c>
      <c r="I196" s="69" t="s">
        <v>51</v>
      </c>
      <c r="J196" s="77"/>
      <c r="K196" s="240" cm="1">
        <f t="array" ref="K196">IF(ISBLANK(J196),INDEX(DryingCost1[[#All],[Geen]:[Waarde MIN]],_xlfn.XMATCH('SCENARIO 2 - Beste geval'!H196,DryingCost1[[#All],[Drogen - Kosten]]),_xlfn.XMATCH('SCENARIO 2 - Beste geval'!I196,DryingCost1[[#Headers],[Geen]:[Waarde MIN]])),J196)</f>
        <v>300</v>
      </c>
      <c r="L196" s="185" t="s">
        <v>115</v>
      </c>
      <c r="N196" s="237" t="s">
        <v>171</v>
      </c>
      <c r="O196" s="69" t="s">
        <v>51</v>
      </c>
      <c r="P196" s="77"/>
      <c r="Q196" s="240" cm="1">
        <f t="array" ref="Q196">IF(ISBLANK(P196),INDEX(DryingCost1[[#All],[Geen]:[Waarde MIN]],_xlfn.XMATCH('SCENARIO 2 - Beste geval'!N196,DryingCost1[[#All],[Drogen - Kosten]]),_xlfn.XMATCH('SCENARIO 2 - Beste geval'!O196,DryingCost1[[#Headers],[Geen]:[Waarde MIN]])),P196)</f>
        <v>500</v>
      </c>
      <c r="R196" s="185" t="s">
        <v>115</v>
      </c>
      <c r="T196" s="237" t="s">
        <v>114</v>
      </c>
      <c r="U196" s="69" t="s">
        <v>51</v>
      </c>
      <c r="V196" s="77"/>
      <c r="W196" s="240" cm="1">
        <f t="array" ref="W196">IF(ISBLANK(V196),INDEX(DryingCost1[[#All],[Geen]:[Waarde MIN]],_xlfn.XMATCH('SCENARIO 2 - Beste geval'!T196,DryingCost1[[#All],[Drogen - Kosten]]),_xlfn.XMATCH('SCENARIO 2 - Beste geval'!U196,DryingCost1[[#Headers],[Geen]:[Waarde MIN]])),V196)</f>
        <v>300</v>
      </c>
      <c r="X196" s="185" t="s">
        <v>115</v>
      </c>
      <c r="Z196" s="237" t="s">
        <v>114</v>
      </c>
      <c r="AA196" s="69" t="s">
        <v>51</v>
      </c>
      <c r="AB196" s="77"/>
      <c r="AC196" s="240" cm="1">
        <f t="array" ref="AC196">IF(ISBLANK(AB196),INDEX(DryingCost1[[#All],[Geen]:[Waarde MIN]],_xlfn.XMATCH('SCENARIO 2 - Beste geval'!Z196,DryingCost1[[#All],[Drogen - Kosten]]),_xlfn.XMATCH('SCENARIO 2 - Beste geval'!AA196,DryingCost1[[#Headers],[Geen]:[Waarde MIN]])),AB196)</f>
        <v>300</v>
      </c>
      <c r="AD196" s="185" t="s">
        <v>115</v>
      </c>
      <c r="AF196" s="237" t="s">
        <v>114</v>
      </c>
      <c r="AG196" s="69" t="s">
        <v>51</v>
      </c>
      <c r="AH196" s="77"/>
      <c r="AI196" s="240" cm="1">
        <f t="array" ref="AI196">IF(ISBLANK(AH196),INDEX(DryingCost1[[#All],[Geen]:[Waarde MIN]],_xlfn.XMATCH('SCENARIO 2 - Beste geval'!AF196,DryingCost1[[#All],[Drogen - Kosten]]),_xlfn.XMATCH('SCENARIO 2 - Beste geval'!AG196,DryingCost1[[#Headers],[Geen]:[Waarde MIN]])),AH196)</f>
        <v>300</v>
      </c>
      <c r="AJ196" s="185" t="s">
        <v>115</v>
      </c>
    </row>
    <row r="197" spans="2:36" ht="18" thickTop="1" thickBot="1" x14ac:dyDescent="0.25">
      <c r="H197" s="187" t="s">
        <v>117</v>
      </c>
      <c r="I197" s="69" t="s">
        <v>52</v>
      </c>
      <c r="J197" s="76"/>
      <c r="K197" s="241" cm="1">
        <f t="array" ref="K197">IF(ISBLANK(J197),INDEX(DryingCost11[[#All],[Geen]:[Waarde MIN]],_xlfn.XMATCH('SCENARIO 2 - Beste geval'!H196,DryingCost11[[#All],[Drogen - Producteffciency]]),_xlfn.XMATCH('SCENARIO 2 - Beste geval'!I197,DryingCost11[[#Headers],[Geen]:[Waarde MIN]])),J197)</f>
        <v>1</v>
      </c>
      <c r="L197" s="185" t="s">
        <v>58</v>
      </c>
      <c r="N197" s="187" t="s">
        <v>117</v>
      </c>
      <c r="O197" s="69" t="s">
        <v>52</v>
      </c>
      <c r="P197" s="76"/>
      <c r="Q197" s="241" cm="1">
        <f t="array" ref="Q197">IF(ISBLANK(P197),INDEX(DryingCost11[[#All],[Geen]:[Waarde MIN]],_xlfn.XMATCH('SCENARIO 2 - Beste geval'!N196,DryingCost11[[#All],[Drogen - Producteffciency]]),_xlfn.XMATCH('SCENARIO 2 - Beste geval'!O197,DryingCost11[[#Headers],[Geen]:[Waarde MIN]])),P197)</f>
        <v>1</v>
      </c>
      <c r="R197" s="185" t="s">
        <v>58</v>
      </c>
      <c r="T197" s="206" t="s">
        <v>117</v>
      </c>
      <c r="U197" s="69" t="s">
        <v>52</v>
      </c>
      <c r="V197" s="76"/>
      <c r="W197" s="241" cm="1">
        <f t="array" ref="W197">IF(ISBLANK(V197),INDEX(DryingCost11[[#All],[Geen]:[Waarde MIN]],_xlfn.XMATCH('SCENARIO 2 - Beste geval'!T196,DryingCost11[[#All],[Drogen - Producteffciency]]),_xlfn.XMATCH('SCENARIO 2 - Beste geval'!U197,DryingCost11[[#Headers],[Geen]:[Waarde MIN]])),V197)</f>
        <v>1</v>
      </c>
      <c r="X197" s="185" t="s">
        <v>58</v>
      </c>
      <c r="Z197" s="206" t="s">
        <v>117</v>
      </c>
      <c r="AA197" s="69" t="s">
        <v>52</v>
      </c>
      <c r="AB197" s="76"/>
      <c r="AC197" s="241" cm="1">
        <f t="array" ref="AC197">IF(ISBLANK(AB197),INDEX(DryingCost11[[#All],[Geen]:[Waarde MIN]],_xlfn.XMATCH('SCENARIO 2 - Beste geval'!Z196,DryingCost11[[#All],[Drogen - Producteffciency]]),_xlfn.XMATCH('SCENARIO 2 - Beste geval'!AA197,DryingCost11[[#Headers],[Geen]:[Waarde MIN]])),AB197)</f>
        <v>1</v>
      </c>
      <c r="AD197" s="185" t="s">
        <v>58</v>
      </c>
      <c r="AF197" s="206" t="s">
        <v>117</v>
      </c>
      <c r="AG197" s="69" t="s">
        <v>52</v>
      </c>
      <c r="AH197" s="76"/>
      <c r="AI197" s="241" cm="1">
        <f t="array" ref="AI197">IF(ISBLANK(AH197),INDEX(DryingCost11[[#All],[Geen]:[Waarde MIN]],_xlfn.XMATCH('SCENARIO 2 - Beste geval'!AF196,DryingCost11[[#All],[Drogen - Producteffciency]]),_xlfn.XMATCH('SCENARIO 2 - Beste geval'!AG197,DryingCost11[[#Headers],[Geen]:[Waarde MIN]])),AH197)</f>
        <v>1</v>
      </c>
      <c r="AJ197" s="185" t="s">
        <v>58</v>
      </c>
    </row>
    <row r="198" spans="2:36" ht="17" thickTop="1" x14ac:dyDescent="0.2">
      <c r="H198" s="238" t="s">
        <v>111</v>
      </c>
      <c r="I198" s="171"/>
      <c r="J198" s="62"/>
      <c r="K198" s="192">
        <f>IF(I185="Nee",0,IF(ISBLANK(J198),K196*K190,J198))</f>
        <v>0</v>
      </c>
      <c r="L198" s="80" t="s">
        <v>102</v>
      </c>
      <c r="N198" s="238" t="s">
        <v>111</v>
      </c>
      <c r="O198" s="171"/>
      <c r="P198" s="62"/>
      <c r="Q198" s="192">
        <f>IF(O185="Nee",0,IF(ISBLANK(P198),Q196*Q190,P198))</f>
        <v>1700.6802721088407</v>
      </c>
      <c r="R198" s="80" t="s">
        <v>102</v>
      </c>
      <c r="T198" s="238" t="s">
        <v>111</v>
      </c>
      <c r="U198" s="171"/>
      <c r="V198" s="62"/>
      <c r="W198" s="192">
        <f>IF(U185="Nee",0,IF(ISBLANK(V198),W196*W190,V198))</f>
        <v>0</v>
      </c>
      <c r="X198" s="80" t="s">
        <v>102</v>
      </c>
      <c r="Z198" s="238" t="s">
        <v>111</v>
      </c>
      <c r="AA198" s="171"/>
      <c r="AB198" s="62"/>
      <c r="AC198" s="192">
        <f>IF(AA185="Nee",0,IF(ISBLANK(AB198),AC196*AC190,AB198))</f>
        <v>4281.7869415807536</v>
      </c>
      <c r="AD198" s="80" t="s">
        <v>102</v>
      </c>
      <c r="AF198" s="238" t="s">
        <v>111</v>
      </c>
      <c r="AG198" s="171"/>
      <c r="AH198" s="62"/>
      <c r="AI198" s="192">
        <f>IF(AG185="Nee",0,IF(ISBLANK(AH198),AI196*AI190,AH198))</f>
        <v>0</v>
      </c>
      <c r="AJ198" s="80" t="s">
        <v>102</v>
      </c>
    </row>
    <row r="199" spans="2:36" x14ac:dyDescent="0.2">
      <c r="H199" s="207" t="s">
        <v>118</v>
      </c>
      <c r="I199" s="171"/>
      <c r="J199" s="171"/>
      <c r="K199" s="259">
        <f>IF(K182&lt;K188,IF(I185="Nee",0,K189*K197),0)</f>
        <v>0</v>
      </c>
      <c r="L199" s="80" t="s">
        <v>86</v>
      </c>
      <c r="N199" s="207" t="s">
        <v>118</v>
      </c>
      <c r="O199" s="171"/>
      <c r="P199" s="171"/>
      <c r="Q199" s="221">
        <f>IF(Q182&lt;Q188,IF(O185="Nee",0,Q189*Q197),0)</f>
        <v>38.265306122448983</v>
      </c>
      <c r="R199" s="80" t="s">
        <v>86</v>
      </c>
      <c r="T199" s="207" t="s">
        <v>118</v>
      </c>
      <c r="U199" s="171"/>
      <c r="V199" s="171"/>
      <c r="W199" s="221">
        <f>IF(W182&lt;W188,IF(U185="Nee",0,W189*W197),0)</f>
        <v>0</v>
      </c>
      <c r="X199" s="80" t="s">
        <v>86</v>
      </c>
      <c r="Z199" s="207" t="s">
        <v>118</v>
      </c>
      <c r="AA199" s="171"/>
      <c r="AB199" s="171"/>
      <c r="AC199" s="221">
        <f>IF(AC182&lt;AC188,IF(AA185="Nee",0,AC189*AC197),0)</f>
        <v>183.50515463917526</v>
      </c>
      <c r="AD199" s="80" t="s">
        <v>86</v>
      </c>
      <c r="AF199" s="207" t="s">
        <v>118</v>
      </c>
      <c r="AG199" s="171"/>
      <c r="AH199" s="171"/>
      <c r="AI199" s="221">
        <f>IF(AI182&lt;AI188,IF(AG185="Nee",0,AI189*AI197),0)</f>
        <v>0</v>
      </c>
      <c r="AJ199" s="80" t="s">
        <v>86</v>
      </c>
    </row>
    <row r="200" spans="2:36" x14ac:dyDescent="0.2">
      <c r="E200" s="28"/>
      <c r="H200" s="207" t="s">
        <v>120</v>
      </c>
      <c r="I200" s="171"/>
      <c r="J200" s="171"/>
      <c r="K200" s="259">
        <f>IF(K182&lt;K188,IF(I185="Nee",0,K189-K199),0)</f>
        <v>0</v>
      </c>
      <c r="L200" s="80" t="s">
        <v>86</v>
      </c>
      <c r="N200" s="207" t="s">
        <v>120</v>
      </c>
      <c r="O200" s="171"/>
      <c r="P200" s="171"/>
      <c r="Q200" s="221">
        <f>IF(Q182&lt;Q188,IF(O185="Nee",0,Q189-Q199),0)</f>
        <v>0</v>
      </c>
      <c r="R200" s="80" t="s">
        <v>86</v>
      </c>
      <c r="T200" s="207" t="s">
        <v>120</v>
      </c>
      <c r="U200" s="171"/>
      <c r="V200" s="171"/>
      <c r="W200" s="221">
        <f>IF(W182&lt;W188,IF(U185="Nee",0,W189-W199),0)</f>
        <v>0</v>
      </c>
      <c r="X200" s="80" t="s">
        <v>86</v>
      </c>
      <c r="Z200" s="207" t="s">
        <v>120</v>
      </c>
      <c r="AA200" s="171"/>
      <c r="AB200" s="171"/>
      <c r="AC200" s="221">
        <f>IF(AC182&lt;AC188,IF(AA185="Nee",0,AC189-AC199),0)</f>
        <v>0</v>
      </c>
      <c r="AD200" s="80" t="s">
        <v>86</v>
      </c>
      <c r="AF200" s="207" t="s">
        <v>120</v>
      </c>
      <c r="AG200" s="171"/>
      <c r="AH200" s="171"/>
      <c r="AI200" s="221">
        <f>IF(AI182&lt;AI188,IF(AG185="Nee",0,AI189-AI199),0)</f>
        <v>0</v>
      </c>
      <c r="AJ200" s="80" t="s">
        <v>86</v>
      </c>
    </row>
    <row r="201" spans="2:36" ht="17" thickBot="1" x14ac:dyDescent="0.25">
      <c r="H201" s="79"/>
      <c r="I201" s="171"/>
      <c r="J201" s="171"/>
      <c r="K201" s="171"/>
      <c r="L201" s="80"/>
      <c r="N201" s="79"/>
      <c r="O201" s="171"/>
      <c r="P201" s="171"/>
      <c r="Q201" s="171"/>
      <c r="R201" s="80"/>
      <c r="T201" s="79"/>
      <c r="U201" s="171"/>
      <c r="V201" s="171"/>
      <c r="W201" s="171"/>
      <c r="X201" s="80"/>
      <c r="Z201" s="79"/>
      <c r="AA201" s="171"/>
      <c r="AB201" s="171"/>
      <c r="AC201" s="171"/>
      <c r="AD201" s="80"/>
      <c r="AF201" s="79"/>
      <c r="AG201" s="171"/>
      <c r="AH201" s="171"/>
      <c r="AI201" s="171"/>
      <c r="AJ201" s="80"/>
    </row>
    <row r="202" spans="2:36" ht="18" thickTop="1" thickBot="1" x14ac:dyDescent="0.25">
      <c r="H202" s="205" t="s">
        <v>172</v>
      </c>
      <c r="I202" s="69" t="s">
        <v>167</v>
      </c>
      <c r="J202" s="171"/>
      <c r="K202" s="171"/>
      <c r="L202" s="80"/>
      <c r="N202" s="205" t="s">
        <v>172</v>
      </c>
      <c r="O202" s="69" t="s">
        <v>167</v>
      </c>
      <c r="P202" s="171"/>
      <c r="Q202" s="171"/>
      <c r="R202" s="80"/>
      <c r="T202" s="205" t="s">
        <v>172</v>
      </c>
      <c r="U202" s="69" t="s">
        <v>167</v>
      </c>
      <c r="V202" s="171"/>
      <c r="W202" s="171"/>
      <c r="X202" s="80"/>
      <c r="Z202" s="205" t="s">
        <v>172</v>
      </c>
      <c r="AA202" s="69" t="s">
        <v>167</v>
      </c>
      <c r="AB202" s="171"/>
      <c r="AC202" s="171"/>
      <c r="AD202" s="80"/>
      <c r="AF202" s="205" t="s">
        <v>172</v>
      </c>
      <c r="AG202" s="69" t="s">
        <v>167</v>
      </c>
      <c r="AH202" s="171"/>
      <c r="AI202" s="171"/>
      <c r="AJ202" s="80"/>
    </row>
    <row r="203" spans="2:36" ht="17" thickTop="1" x14ac:dyDescent="0.2">
      <c r="H203" s="201" t="s">
        <v>173</v>
      </c>
      <c r="I203" s="171"/>
      <c r="J203" s="171"/>
      <c r="K203" s="219">
        <f>IF(K199&gt;0,IF(I185='DATA - Variabelen &amp; waarden'!$B$326,K199,K183),K183)</f>
        <v>198.33333333333331</v>
      </c>
      <c r="L203" s="80" t="s">
        <v>86</v>
      </c>
      <c r="N203" s="201" t="s">
        <v>173</v>
      </c>
      <c r="O203" s="171"/>
      <c r="P203" s="171"/>
      <c r="Q203" s="219">
        <f>IF(Q199&gt;0,IF(O185='DATA - Variabelen &amp; waarden'!$B$326,Q199,Q183),Q183)</f>
        <v>38.265306122448983</v>
      </c>
      <c r="R203" s="80" t="s">
        <v>86</v>
      </c>
      <c r="T203" s="201" t="s">
        <v>173</v>
      </c>
      <c r="U203" s="171"/>
      <c r="V203" s="171"/>
      <c r="W203" s="219">
        <f>IF(W199&gt;0,IF(U185='DATA - Variabelen &amp; waarden'!$B$326,W199,W183),W183)</f>
        <v>197.77777777777777</v>
      </c>
      <c r="X203" s="80" t="s">
        <v>86</v>
      </c>
      <c r="Z203" s="201" t="s">
        <v>173</v>
      </c>
      <c r="AA203" s="171"/>
      <c r="AB203" s="171"/>
      <c r="AC203" s="219">
        <f>IF(AC199&gt;0,IF(AA185='DATA - Variabelen &amp; waarden'!$B$326,AC199,AC183),AC183)</f>
        <v>183.50515463917526</v>
      </c>
      <c r="AD203" s="80" t="s">
        <v>86</v>
      </c>
      <c r="AF203" s="201" t="s">
        <v>173</v>
      </c>
      <c r="AG203" s="171"/>
      <c r="AH203" s="171"/>
      <c r="AI203" s="219">
        <f>IF(AI199&gt;0,IF(AG185='DATA - Variabelen &amp; waarden'!$B$326,AI199,AI183),AI183)</f>
        <v>197.77777777777777</v>
      </c>
      <c r="AJ203" s="80" t="s">
        <v>86</v>
      </c>
    </row>
    <row r="204" spans="2:36" x14ac:dyDescent="0.2">
      <c r="H204" s="260" t="s">
        <v>95</v>
      </c>
      <c r="I204" s="90" t="s">
        <v>25</v>
      </c>
      <c r="J204" s="92" t="s">
        <v>26</v>
      </c>
      <c r="K204" s="171"/>
      <c r="L204" s="80"/>
      <c r="N204" s="260" t="s">
        <v>95</v>
      </c>
      <c r="O204" s="90" t="s">
        <v>25</v>
      </c>
      <c r="P204" s="92" t="s">
        <v>26</v>
      </c>
      <c r="Q204" s="171"/>
      <c r="R204" s="80"/>
      <c r="T204" s="260" t="s">
        <v>95</v>
      </c>
      <c r="U204" s="90" t="s">
        <v>25</v>
      </c>
      <c r="V204" s="92" t="s">
        <v>26</v>
      </c>
      <c r="W204" s="171"/>
      <c r="X204" s="80"/>
      <c r="Z204" s="260" t="s">
        <v>95</v>
      </c>
      <c r="AA204" s="90" t="s">
        <v>25</v>
      </c>
      <c r="AB204" s="92" t="s">
        <v>26</v>
      </c>
      <c r="AC204" s="171"/>
      <c r="AD204" s="80"/>
      <c r="AF204" s="260" t="s">
        <v>95</v>
      </c>
      <c r="AG204" s="90" t="s">
        <v>25</v>
      </c>
      <c r="AH204" s="92" t="s">
        <v>26</v>
      </c>
      <c r="AI204" s="171"/>
      <c r="AJ204" s="80"/>
    </row>
    <row r="205" spans="2:36" ht="17" thickBot="1" x14ac:dyDescent="0.25">
      <c r="H205" s="187" t="s">
        <v>174</v>
      </c>
      <c r="I205" s="171"/>
      <c r="J205" s="62">
        <v>85</v>
      </c>
      <c r="K205" s="104">
        <f>J205</f>
        <v>85</v>
      </c>
      <c r="L205" s="185" t="s">
        <v>97</v>
      </c>
      <c r="N205" s="187" t="s">
        <v>174</v>
      </c>
      <c r="O205" s="171"/>
      <c r="P205" s="62">
        <v>85</v>
      </c>
      <c r="Q205" s="104">
        <f>P205</f>
        <v>85</v>
      </c>
      <c r="R205" s="185" t="s">
        <v>97</v>
      </c>
      <c r="T205" s="187" t="s">
        <v>174</v>
      </c>
      <c r="U205" s="171"/>
      <c r="V205" s="62">
        <v>85</v>
      </c>
      <c r="W205" s="104">
        <f>V205</f>
        <v>85</v>
      </c>
      <c r="X205" s="185" t="s">
        <v>97</v>
      </c>
      <c r="Z205" s="187" t="s">
        <v>174</v>
      </c>
      <c r="AA205" s="171"/>
      <c r="AB205" s="62">
        <v>85</v>
      </c>
      <c r="AC205" s="104">
        <f>AB205</f>
        <v>85</v>
      </c>
      <c r="AD205" s="185" t="s">
        <v>97</v>
      </c>
      <c r="AF205" s="187" t="s">
        <v>174</v>
      </c>
      <c r="AG205" s="171"/>
      <c r="AH205" s="62">
        <v>85</v>
      </c>
      <c r="AI205" s="104">
        <f>AH205</f>
        <v>85</v>
      </c>
      <c r="AJ205" s="185" t="s">
        <v>97</v>
      </c>
    </row>
    <row r="206" spans="2:36" ht="18" thickTop="1" thickBot="1" x14ac:dyDescent="0.25">
      <c r="H206" s="237" t="s">
        <v>99</v>
      </c>
      <c r="I206" s="69" t="s">
        <v>51</v>
      </c>
      <c r="J206" s="62"/>
      <c r="K206" s="236" cm="1">
        <f t="array" ref="K206">IF(ISBLANK(J206),INDEX(ProcesCost01[[#All],[Geen]:[Waarde MIN]],_xlfn.XMATCH('SCENARIO 2 - Beste geval'!H206,ProcesCost01[[#All],[Transportkosten]]),_xlfn.XMATCH('SCENARIO 2 - Beste geval'!I206,ProcesCost01[[#Headers],[Geen]:[Waarde MIN]])),J206)</f>
        <v>0.03</v>
      </c>
      <c r="L206" s="185" t="s">
        <v>100</v>
      </c>
      <c r="N206" s="237" t="s">
        <v>99</v>
      </c>
      <c r="O206" s="69" t="s">
        <v>51</v>
      </c>
      <c r="P206" s="62"/>
      <c r="Q206" s="236" cm="1">
        <f t="array" ref="Q206">IF(ISBLANK(P206),INDEX(ProcesCost01[[#All],[Geen]:[Waarde MIN]],_xlfn.XMATCH('SCENARIO 2 - Beste geval'!N206,ProcesCost01[[#All],[Transportkosten]]),_xlfn.XMATCH('SCENARIO 2 - Beste geval'!O206,ProcesCost01[[#Headers],[Geen]:[Waarde MIN]])),P206)</f>
        <v>0.03</v>
      </c>
      <c r="R206" s="185" t="s">
        <v>100</v>
      </c>
      <c r="T206" s="237" t="s">
        <v>99</v>
      </c>
      <c r="U206" s="69" t="s">
        <v>51</v>
      </c>
      <c r="V206" s="62"/>
      <c r="W206" s="236" cm="1">
        <f t="array" ref="W206">IF(ISBLANK(V206),INDEX(ProcesCost01[[#All],[Geen]:[Waarde MIN]],_xlfn.XMATCH('SCENARIO 2 - Beste geval'!T206,ProcesCost01[[#All],[Transportkosten]]),_xlfn.XMATCH('SCENARIO 2 - Beste geval'!U206,ProcesCost01[[#Headers],[Geen]:[Waarde MIN]])),V206)</f>
        <v>0.03</v>
      </c>
      <c r="X206" s="185" t="s">
        <v>100</v>
      </c>
      <c r="Z206" s="237" t="s">
        <v>99</v>
      </c>
      <c r="AA206" s="69" t="s">
        <v>51</v>
      </c>
      <c r="AB206" s="62"/>
      <c r="AC206" s="236" cm="1">
        <f t="array" ref="AC206">IF(ISBLANK(AB206),INDEX(ProcesCost01[[#All],[Geen]:[Waarde MIN]],_xlfn.XMATCH('SCENARIO 2 - Beste geval'!Z206,ProcesCost01[[#All],[Transportkosten]]),_xlfn.XMATCH('SCENARIO 2 - Beste geval'!AA206,ProcesCost01[[#Headers],[Geen]:[Waarde MIN]])),AB206)</f>
        <v>0.03</v>
      </c>
      <c r="AD206" s="185" t="s">
        <v>100</v>
      </c>
      <c r="AF206" s="237" t="s">
        <v>99</v>
      </c>
      <c r="AG206" s="69" t="s">
        <v>51</v>
      </c>
      <c r="AH206" s="62"/>
      <c r="AI206" s="236" cm="1">
        <f t="array" ref="AI206">IF(ISBLANK(AH206),INDEX(ProcesCost01[[#All],[Geen]:[Waarde MIN]],_xlfn.XMATCH('SCENARIO 2 - Beste geval'!AF206,ProcesCost01[[#All],[Transportkosten]]),_xlfn.XMATCH('SCENARIO 2 - Beste geval'!AG206,ProcesCost01[[#Headers],[Geen]:[Waarde MIN]])),AH206)</f>
        <v>0.03</v>
      </c>
      <c r="AJ206" s="185" t="s">
        <v>100</v>
      </c>
    </row>
    <row r="207" spans="2:36" ht="17" thickTop="1" x14ac:dyDescent="0.2">
      <c r="H207" s="207" t="s">
        <v>175</v>
      </c>
      <c r="I207" s="171"/>
      <c r="J207" s="62"/>
      <c r="K207" s="192">
        <f>IF(I202="Nee",0,IF(ISBLANK(J207),K205*K206*K203,J207))</f>
        <v>505.74999999999994</v>
      </c>
      <c r="L207" s="80" t="s">
        <v>102</v>
      </c>
      <c r="N207" s="207" t="s">
        <v>175</v>
      </c>
      <c r="O207" s="171"/>
      <c r="P207" s="62"/>
      <c r="Q207" s="192">
        <f>IF(O202="Nee",0,IF(ISBLANK(P207),Q205*Q206*Q203,P207))</f>
        <v>97.576530612244895</v>
      </c>
      <c r="R207" s="80" t="s">
        <v>102</v>
      </c>
      <c r="T207" s="207" t="s">
        <v>175</v>
      </c>
      <c r="U207" s="171"/>
      <c r="V207" s="62"/>
      <c r="W207" s="192">
        <f>IF(U202="Nee",0,IF(ISBLANK(V207),W205*W206*W203,V207))</f>
        <v>504.33333333333326</v>
      </c>
      <c r="X207" s="80" t="s">
        <v>102</v>
      </c>
      <c r="Z207" s="207" t="s">
        <v>175</v>
      </c>
      <c r="AA207" s="171"/>
      <c r="AB207" s="62"/>
      <c r="AC207" s="192">
        <f>IF(AA202="Nee",0,IF(ISBLANK(AB207),AC205*AC206*AC203,AB207))</f>
        <v>467.93814432989689</v>
      </c>
      <c r="AD207" s="80" t="s">
        <v>102</v>
      </c>
      <c r="AF207" s="207" t="s">
        <v>175</v>
      </c>
      <c r="AG207" s="171"/>
      <c r="AH207" s="62"/>
      <c r="AI207" s="192">
        <f>IF(AG202="Nee",0,IF(ISBLANK(AH207),AI205*AI206*AI203,AH207))</f>
        <v>504.33333333333326</v>
      </c>
      <c r="AJ207" s="80" t="s">
        <v>102</v>
      </c>
    </row>
    <row r="208" spans="2:36" ht="17" thickBot="1" x14ac:dyDescent="0.25">
      <c r="H208" s="260" t="s">
        <v>176</v>
      </c>
      <c r="I208" s="90" t="s">
        <v>25</v>
      </c>
      <c r="J208" s="92" t="s">
        <v>26</v>
      </c>
      <c r="K208" s="171"/>
      <c r="L208" s="80"/>
      <c r="N208" s="260" t="s">
        <v>176</v>
      </c>
      <c r="O208" s="90" t="s">
        <v>25</v>
      </c>
      <c r="P208" s="92" t="s">
        <v>26</v>
      </c>
      <c r="Q208" s="171"/>
      <c r="R208" s="80"/>
      <c r="T208" s="260" t="s">
        <v>176</v>
      </c>
      <c r="U208" s="90" t="s">
        <v>25</v>
      </c>
      <c r="V208" s="92" t="s">
        <v>26</v>
      </c>
      <c r="W208" s="171"/>
      <c r="X208" s="80"/>
      <c r="Z208" s="260" t="s">
        <v>176</v>
      </c>
      <c r="AA208" s="90" t="s">
        <v>25</v>
      </c>
      <c r="AB208" s="92" t="s">
        <v>26</v>
      </c>
      <c r="AC208" s="171"/>
      <c r="AD208" s="80"/>
      <c r="AF208" s="260" t="s">
        <v>176</v>
      </c>
      <c r="AG208" s="90" t="s">
        <v>25</v>
      </c>
      <c r="AH208" s="92" t="s">
        <v>26</v>
      </c>
      <c r="AI208" s="171"/>
      <c r="AJ208" s="80"/>
    </row>
    <row r="209" spans="8:36" ht="18" thickTop="1" thickBot="1" x14ac:dyDescent="0.25">
      <c r="H209" s="237" t="s">
        <v>177</v>
      </c>
      <c r="I209" s="69" t="s">
        <v>51</v>
      </c>
      <c r="J209" s="77"/>
      <c r="K209" s="236" cm="1">
        <f t="array" ref="K209">IF(I202="Nee",0,IF(ISBLANK(J209),INDEX(ProcesCost2[[#All],[Geen]:[Waarde MIN]],_xlfn.XMATCH('SCENARIO 2 - Beste geval'!H209,ProcesCost2[[#All],[Verwerking - Kosten]]),_xlfn.XMATCH('SCENARIO 2 - Beste geval'!I209,ProcesCost2[[#Headers],[Geen]:[Waarde MIN]])),J209))</f>
        <v>5</v>
      </c>
      <c r="L209" s="185" t="s">
        <v>178</v>
      </c>
      <c r="N209" s="237" t="s">
        <v>537</v>
      </c>
      <c r="O209" s="69" t="s">
        <v>51</v>
      </c>
      <c r="P209" s="77"/>
      <c r="Q209" s="236" cm="1">
        <f t="array" ref="Q209">IF(O202="Nee",0,IF(ISBLANK(P209),INDEX(ProcesCost2[[#All],[Geen]:[Waarde MIN]],_xlfn.XMATCH('SCENARIO 2 - Beste geval'!N209,ProcesCost2[[#All],[Verwerking - Kosten]]),_xlfn.XMATCH('SCENARIO 2 - Beste geval'!O209,ProcesCost2[[#Headers],[Geen]:[Waarde MIN]])),P209))</f>
        <v>15</v>
      </c>
      <c r="R209" s="185" t="s">
        <v>178</v>
      </c>
      <c r="T209" s="237" t="s">
        <v>821</v>
      </c>
      <c r="U209" s="69" t="s">
        <v>51</v>
      </c>
      <c r="V209" s="77"/>
      <c r="W209" s="236" cm="1">
        <f t="array" ref="W209">IF(U202="Nee",0,IF(ISBLANK(V209),INDEX(ProcesCost2[[#All],[Geen]:[Waarde MIN]],_xlfn.XMATCH('SCENARIO 2 - Beste geval'!T209,ProcesCost2[[#All],[Verwerking - Kosten]]),_xlfn.XMATCH('SCENARIO 2 - Beste geval'!U209,ProcesCost2[[#Headers],[Geen]:[Waarde MIN]])),V209))</f>
        <v>5</v>
      </c>
      <c r="X209" s="185" t="s">
        <v>178</v>
      </c>
      <c r="Z209" s="237" t="s">
        <v>177</v>
      </c>
      <c r="AA209" s="69" t="s">
        <v>51</v>
      </c>
      <c r="AB209" s="77"/>
      <c r="AC209" s="236" cm="1">
        <f t="array" ref="AC209">IF(AA202="Nee",0,IF(ISBLANK(AB209),INDEX(ProcesCost2[[#All],[Geen]:[Waarde MIN]],_xlfn.XMATCH('SCENARIO 2 - Beste geval'!Z209,ProcesCost2[[#All],[Verwerking - Kosten]]),_xlfn.XMATCH('SCENARIO 2 - Beste geval'!AA209,ProcesCost2[[#Headers],[Geen]:[Waarde MIN]])),AB209))</f>
        <v>5</v>
      </c>
      <c r="AD209" s="185" t="s">
        <v>178</v>
      </c>
      <c r="AF209" s="237" t="s">
        <v>177</v>
      </c>
      <c r="AG209" s="69" t="s">
        <v>51</v>
      </c>
      <c r="AH209" s="77"/>
      <c r="AI209" s="236" cm="1">
        <f t="array" ref="AI209">IF(AG202="Nee",0,IF(ISBLANK(AH209),INDEX(ProcesCost2[[#All],[Geen]:[Waarde MIN]],_xlfn.XMATCH('SCENARIO 2 - Beste geval'!AF209,ProcesCost2[[#All],[Verwerking - Kosten]]),_xlfn.XMATCH('SCENARIO 2 - Beste geval'!AG209,ProcesCost2[[#Headers],[Geen]:[Waarde MIN]])),AH209))</f>
        <v>5</v>
      </c>
      <c r="AJ209" s="185" t="s">
        <v>178</v>
      </c>
    </row>
    <row r="210" spans="8:36" ht="18" thickTop="1" thickBot="1" x14ac:dyDescent="0.25">
      <c r="H210" s="206" t="s">
        <v>179</v>
      </c>
      <c r="I210" s="69" t="s">
        <v>52</v>
      </c>
      <c r="J210" s="76"/>
      <c r="K210" s="241" cm="1">
        <f t="array" ref="K210">INDEX(ProcesCost21[[#All],[Geen]:[Waarde MIN]],_xlfn.XMATCH('SCENARIO 2 - Beste geval'!H209,ProcesCost21[[#All],[Verwerking - Producteffciency]]),_xlfn.XMATCH('SCENARIO 2 - Beste geval'!I210,ProcesCost21[[#Headers],[Geen]:[Waarde MIN]]))</f>
        <v>1</v>
      </c>
      <c r="L210" s="185" t="s">
        <v>58</v>
      </c>
      <c r="N210" s="206" t="s">
        <v>179</v>
      </c>
      <c r="O210" s="69" t="s">
        <v>52</v>
      </c>
      <c r="P210" s="76"/>
      <c r="Q210" s="241" cm="1">
        <f t="array" ref="Q210">INDEX(ProcesCost21[[#All],[Geen]:[Waarde MIN]],_xlfn.XMATCH('SCENARIO 2 - Beste geval'!N209,ProcesCost21[[#All],[Verwerking - Producteffciency]]),_xlfn.XMATCH('SCENARIO 2 - Beste geval'!O210,ProcesCost21[[#Headers],[Geen]:[Waarde MIN]]))</f>
        <v>1</v>
      </c>
      <c r="R210" s="185" t="s">
        <v>58</v>
      </c>
      <c r="T210" s="206" t="s">
        <v>179</v>
      </c>
      <c r="U210" s="69" t="s">
        <v>52</v>
      </c>
      <c r="V210" s="76"/>
      <c r="W210" s="241" cm="1">
        <f t="array" ref="W210">INDEX(ProcesCost21[[#All],[Geen]:[Waarde MIN]],_xlfn.XMATCH('SCENARIO 2 - Beste geval'!T209,ProcesCost21[[#All],[Verwerking - Producteffciency]]),_xlfn.XMATCH('SCENARIO 2 - Beste geval'!U210,ProcesCost21[[#Headers],[Geen]:[Waarde MIN]]))</f>
        <v>1</v>
      </c>
      <c r="X210" s="185" t="s">
        <v>58</v>
      </c>
      <c r="Z210" s="206" t="s">
        <v>179</v>
      </c>
      <c r="AA210" s="69" t="s">
        <v>52</v>
      </c>
      <c r="AB210" s="76"/>
      <c r="AC210" s="241" cm="1">
        <f t="array" ref="AC210">INDEX(ProcesCost21[[#All],[Geen]:[Waarde MIN]],_xlfn.XMATCH('SCENARIO 2 - Beste geval'!Z209,ProcesCost21[[#All],[Verwerking - Producteffciency]]),_xlfn.XMATCH('SCENARIO 2 - Beste geval'!AA210,ProcesCost21[[#Headers],[Geen]:[Waarde MIN]]))</f>
        <v>1</v>
      </c>
      <c r="AD210" s="185" t="s">
        <v>58</v>
      </c>
      <c r="AF210" s="206" t="s">
        <v>179</v>
      </c>
      <c r="AG210" s="69" t="s">
        <v>52</v>
      </c>
      <c r="AH210" s="76"/>
      <c r="AI210" s="241" cm="1">
        <f t="array" ref="AI210">INDEX(ProcesCost21[[#All],[Geen]:[Waarde MIN]],_xlfn.XMATCH('SCENARIO 2 - Beste geval'!AF209,ProcesCost21[[#All],[Verwerking - Producteffciency]]),_xlfn.XMATCH('SCENARIO 2 - Beste geval'!AG210,ProcesCost21[[#Headers],[Geen]:[Waarde MIN]]))</f>
        <v>1</v>
      </c>
      <c r="AJ210" s="185" t="s">
        <v>58</v>
      </c>
    </row>
    <row r="211" spans="8:36" ht="17" thickTop="1" x14ac:dyDescent="0.2">
      <c r="H211" s="207" t="s">
        <v>180</v>
      </c>
      <c r="I211" s="171"/>
      <c r="J211" s="264"/>
      <c r="K211" s="174">
        <f>IFERROR(IF(ISBLANK(J211),K203*K209,J211),0)</f>
        <v>991.66666666666652</v>
      </c>
      <c r="L211" s="80" t="s">
        <v>102</v>
      </c>
      <c r="N211" s="207" t="s">
        <v>180</v>
      </c>
      <c r="O211" s="171"/>
      <c r="P211" s="264"/>
      <c r="Q211" s="174">
        <f>IFERROR(IF(ISBLANK(P211),Q203*Q209,P211),0)</f>
        <v>573.9795918367347</v>
      </c>
      <c r="R211" s="80" t="s">
        <v>102</v>
      </c>
      <c r="T211" s="207" t="s">
        <v>180</v>
      </c>
      <c r="U211" s="171"/>
      <c r="V211" s="264"/>
      <c r="W211" s="174">
        <f>IFERROR(IF(ISBLANK(V211),W203*W209,V211),0)</f>
        <v>988.88888888888891</v>
      </c>
      <c r="X211" s="80" t="s">
        <v>102</v>
      </c>
      <c r="Z211" s="207" t="s">
        <v>180</v>
      </c>
      <c r="AA211" s="171"/>
      <c r="AB211" s="264"/>
      <c r="AC211" s="174">
        <f>IFERROR(IF(ISBLANK(AB211),AC203*AC209,AB211),0)</f>
        <v>917.52577319587635</v>
      </c>
      <c r="AD211" s="80" t="s">
        <v>102</v>
      </c>
      <c r="AF211" s="207" t="s">
        <v>180</v>
      </c>
      <c r="AG211" s="171"/>
      <c r="AH211" s="264"/>
      <c r="AI211" s="174">
        <f>IFERROR(IF(ISBLANK(AH211),AI203*AI209,AH211),0)</f>
        <v>988.88888888888891</v>
      </c>
      <c r="AJ211" s="80" t="s">
        <v>102</v>
      </c>
    </row>
    <row r="212" spans="8:36" x14ac:dyDescent="0.2">
      <c r="H212" s="207" t="s">
        <v>181</v>
      </c>
      <c r="I212" s="171"/>
      <c r="J212" s="171"/>
      <c r="K212" s="259">
        <f>IF(I202="Nee",0,K203*K210)</f>
        <v>198.33333333333331</v>
      </c>
      <c r="L212" s="80" t="s">
        <v>86</v>
      </c>
      <c r="N212" s="207" t="s">
        <v>181</v>
      </c>
      <c r="O212" s="171"/>
      <c r="P212" s="171"/>
      <c r="Q212" s="259">
        <f>IF(O202="Nee",0,Q203*Q210)</f>
        <v>38.265306122448983</v>
      </c>
      <c r="R212" s="80" t="s">
        <v>86</v>
      </c>
      <c r="T212" s="207" t="s">
        <v>181</v>
      </c>
      <c r="U212" s="171"/>
      <c r="V212" s="171"/>
      <c r="W212" s="259">
        <f>IF(U202="Nee",0,W203*W210)</f>
        <v>197.77777777777777</v>
      </c>
      <c r="X212" s="80" t="s">
        <v>86</v>
      </c>
      <c r="Z212" s="207" t="s">
        <v>181</v>
      </c>
      <c r="AA212" s="171"/>
      <c r="AB212" s="171"/>
      <c r="AC212" s="259">
        <f>IF(AA202="Nee",0,AC203*AC210)</f>
        <v>183.50515463917526</v>
      </c>
      <c r="AD212" s="80" t="s">
        <v>86</v>
      </c>
      <c r="AF212" s="207" t="s">
        <v>181</v>
      </c>
      <c r="AG212" s="171"/>
      <c r="AH212" s="171"/>
      <c r="AI212" s="259">
        <f>IF(AG202="Nee",0,AI203*AI210)</f>
        <v>197.77777777777777</v>
      </c>
      <c r="AJ212" s="80" t="s">
        <v>86</v>
      </c>
    </row>
    <row r="213" spans="8:36" x14ac:dyDescent="0.2">
      <c r="H213" s="207" t="s">
        <v>120</v>
      </c>
      <c r="I213" s="171"/>
      <c r="J213" s="171"/>
      <c r="K213" s="259">
        <f>IF(I202="Nee",0,K203-K212)</f>
        <v>0</v>
      </c>
      <c r="L213" s="80" t="s">
        <v>86</v>
      </c>
      <c r="N213" s="207" t="s">
        <v>120</v>
      </c>
      <c r="O213" s="171"/>
      <c r="P213" s="171"/>
      <c r="Q213" s="259">
        <f>IF(O202="Nee",0,Q203-Q212)</f>
        <v>0</v>
      </c>
      <c r="R213" s="80" t="s">
        <v>86</v>
      </c>
      <c r="T213" s="207" t="s">
        <v>120</v>
      </c>
      <c r="U213" s="171"/>
      <c r="V213" s="171"/>
      <c r="W213" s="259">
        <f>IF(U202="Nee",0,W203-W212)</f>
        <v>0</v>
      </c>
      <c r="X213" s="80" t="s">
        <v>86</v>
      </c>
      <c r="Z213" s="207" t="s">
        <v>120</v>
      </c>
      <c r="AA213" s="171"/>
      <c r="AB213" s="171"/>
      <c r="AC213" s="259">
        <f>IF(AA202="Nee",0,AC203-AC212)</f>
        <v>0</v>
      </c>
      <c r="AD213" s="80" t="s">
        <v>86</v>
      </c>
      <c r="AF213" s="207" t="s">
        <v>120</v>
      </c>
      <c r="AG213" s="171"/>
      <c r="AH213" s="171"/>
      <c r="AI213" s="259">
        <f>IF(AG202="Nee",0,AI203-AI212)</f>
        <v>0</v>
      </c>
      <c r="AJ213" s="80" t="s">
        <v>86</v>
      </c>
    </row>
    <row r="214" spans="8:36" ht="17" thickBot="1" x14ac:dyDescent="0.25">
      <c r="H214" s="79"/>
      <c r="I214" s="171"/>
      <c r="J214" s="171"/>
      <c r="K214" s="171"/>
      <c r="L214" s="80"/>
      <c r="N214" s="79"/>
      <c r="O214" s="171"/>
      <c r="P214" s="171"/>
      <c r="Q214" s="171"/>
      <c r="R214" s="80"/>
      <c r="T214" s="79"/>
      <c r="U214" s="171"/>
      <c r="V214" s="171"/>
      <c r="W214" s="171"/>
      <c r="X214" s="80"/>
      <c r="Z214" s="79"/>
      <c r="AA214" s="171"/>
      <c r="AB214" s="171"/>
      <c r="AC214" s="171"/>
      <c r="AD214" s="80"/>
      <c r="AF214" s="79"/>
      <c r="AG214" s="171"/>
      <c r="AH214" s="171"/>
      <c r="AI214" s="171"/>
      <c r="AJ214" s="80"/>
    </row>
    <row r="215" spans="8:36" ht="18" thickTop="1" thickBot="1" x14ac:dyDescent="0.25">
      <c r="H215" s="205" t="s">
        <v>182</v>
      </c>
      <c r="I215" s="69" t="s">
        <v>76</v>
      </c>
      <c r="J215" s="171"/>
      <c r="K215" s="171"/>
      <c r="L215" s="80"/>
      <c r="N215" s="205" t="s">
        <v>182</v>
      </c>
      <c r="O215" s="69" t="s">
        <v>76</v>
      </c>
      <c r="P215" s="171"/>
      <c r="Q215" s="171"/>
      <c r="R215" s="80"/>
      <c r="T215" s="205" t="s">
        <v>182</v>
      </c>
      <c r="U215" s="69" t="s">
        <v>76</v>
      </c>
      <c r="V215" s="171"/>
      <c r="W215" s="171"/>
      <c r="X215" s="80"/>
      <c r="Z215" s="205" t="s">
        <v>182</v>
      </c>
      <c r="AA215" s="69" t="s">
        <v>167</v>
      </c>
      <c r="AB215" s="171"/>
      <c r="AC215" s="171"/>
      <c r="AD215" s="80"/>
      <c r="AF215" s="205" t="s">
        <v>182</v>
      </c>
      <c r="AG215" s="69" t="s">
        <v>167</v>
      </c>
      <c r="AH215" s="171"/>
      <c r="AI215" s="171"/>
      <c r="AJ215" s="80"/>
    </row>
    <row r="216" spans="8:36" ht="17" thickTop="1" x14ac:dyDescent="0.2">
      <c r="H216" s="201" t="s">
        <v>173</v>
      </c>
      <c r="I216" s="171"/>
      <c r="J216" s="171"/>
      <c r="K216" s="219">
        <f>K212</f>
        <v>198.33333333333331</v>
      </c>
      <c r="L216" s="80" t="s">
        <v>86</v>
      </c>
      <c r="N216" s="201" t="s">
        <v>173</v>
      </c>
      <c r="O216" s="171"/>
      <c r="P216" s="171"/>
      <c r="Q216" s="219">
        <f>Q212</f>
        <v>38.265306122448983</v>
      </c>
      <c r="R216" s="80" t="s">
        <v>86</v>
      </c>
      <c r="T216" s="201" t="s">
        <v>173</v>
      </c>
      <c r="U216" s="171"/>
      <c r="V216" s="171"/>
      <c r="W216" s="219">
        <f>W212</f>
        <v>197.77777777777777</v>
      </c>
      <c r="X216" s="80" t="s">
        <v>86</v>
      </c>
      <c r="Z216" s="201" t="s">
        <v>173</v>
      </c>
      <c r="AA216" s="171"/>
      <c r="AB216" s="171"/>
      <c r="AC216" s="219">
        <f>AC212</f>
        <v>183.50515463917526</v>
      </c>
      <c r="AD216" s="80" t="s">
        <v>86</v>
      </c>
      <c r="AF216" s="201" t="s">
        <v>173</v>
      </c>
      <c r="AG216" s="171"/>
      <c r="AH216" s="171"/>
      <c r="AI216" s="219">
        <f>AI212</f>
        <v>197.77777777777777</v>
      </c>
      <c r="AJ216" s="80" t="s">
        <v>86</v>
      </c>
    </row>
    <row r="217" spans="8:36" x14ac:dyDescent="0.2">
      <c r="H217" s="260" t="s">
        <v>95</v>
      </c>
      <c r="I217" s="90" t="s">
        <v>25</v>
      </c>
      <c r="J217" s="92" t="s">
        <v>26</v>
      </c>
      <c r="K217" s="171"/>
      <c r="L217" s="80"/>
      <c r="N217" s="260" t="s">
        <v>95</v>
      </c>
      <c r="O217" s="90" t="s">
        <v>25</v>
      </c>
      <c r="P217" s="92" t="s">
        <v>26</v>
      </c>
      <c r="Q217" s="171"/>
      <c r="R217" s="80"/>
      <c r="T217" s="260" t="s">
        <v>95</v>
      </c>
      <c r="U217" s="90" t="s">
        <v>25</v>
      </c>
      <c r="V217" s="92" t="s">
        <v>26</v>
      </c>
      <c r="W217" s="171"/>
      <c r="X217" s="80"/>
      <c r="Z217" s="260" t="s">
        <v>95</v>
      </c>
      <c r="AA217" s="90" t="s">
        <v>25</v>
      </c>
      <c r="AB217" s="92" t="s">
        <v>26</v>
      </c>
      <c r="AC217" s="171"/>
      <c r="AD217" s="80"/>
      <c r="AF217" s="260" t="s">
        <v>95</v>
      </c>
      <c r="AG217" s="90" t="s">
        <v>25</v>
      </c>
      <c r="AH217" s="92" t="s">
        <v>26</v>
      </c>
      <c r="AI217" s="171"/>
      <c r="AJ217" s="80"/>
    </row>
    <row r="218" spans="8:36" ht="17" thickBot="1" x14ac:dyDescent="0.25">
      <c r="H218" s="187" t="s">
        <v>174</v>
      </c>
      <c r="I218" s="171"/>
      <c r="J218" s="62">
        <v>85</v>
      </c>
      <c r="K218" s="104">
        <f>J218</f>
        <v>85</v>
      </c>
      <c r="L218" s="185" t="s">
        <v>97</v>
      </c>
      <c r="N218" s="187" t="s">
        <v>174</v>
      </c>
      <c r="O218" s="171"/>
      <c r="P218" s="62">
        <v>85</v>
      </c>
      <c r="Q218" s="104">
        <f>P218</f>
        <v>85</v>
      </c>
      <c r="R218" s="185" t="s">
        <v>97</v>
      </c>
      <c r="T218" s="187" t="s">
        <v>174</v>
      </c>
      <c r="U218" s="171"/>
      <c r="V218" s="62">
        <v>85</v>
      </c>
      <c r="W218" s="104">
        <f>V218</f>
        <v>85</v>
      </c>
      <c r="X218" s="185" t="s">
        <v>97</v>
      </c>
      <c r="Z218" s="187" t="s">
        <v>174</v>
      </c>
      <c r="AA218" s="171"/>
      <c r="AB218" s="62">
        <v>0</v>
      </c>
      <c r="AC218" s="104">
        <f>AB218</f>
        <v>0</v>
      </c>
      <c r="AD218" s="185" t="s">
        <v>97</v>
      </c>
      <c r="AF218" s="187" t="s">
        <v>174</v>
      </c>
      <c r="AG218" s="171"/>
      <c r="AH218" s="62">
        <v>0</v>
      </c>
      <c r="AI218" s="104">
        <f>AH218</f>
        <v>0</v>
      </c>
      <c r="AJ218" s="185" t="s">
        <v>97</v>
      </c>
    </row>
    <row r="219" spans="8:36" ht="18" thickTop="1" thickBot="1" x14ac:dyDescent="0.25">
      <c r="H219" s="237" t="s">
        <v>99</v>
      </c>
      <c r="I219" s="69" t="s">
        <v>51</v>
      </c>
      <c r="J219" s="62"/>
      <c r="K219" s="236" cm="1">
        <f t="array" ref="K219">IF(ISBLANK(J219),INDEX(ProcesCost01[[#All],[Geen]:[Waarde MIN]],_xlfn.XMATCH('SCENARIO 2 - Beste geval'!H219,ProcesCost01[[#All],[Transportkosten]]),_xlfn.XMATCH('SCENARIO 2 - Beste geval'!I219,ProcesCost01[[#Headers],[Geen]:[Waarde MIN]])),J219)</f>
        <v>0.03</v>
      </c>
      <c r="L219" s="185" t="s">
        <v>100</v>
      </c>
      <c r="N219" s="237" t="s">
        <v>99</v>
      </c>
      <c r="O219" s="69" t="s">
        <v>51</v>
      </c>
      <c r="P219" s="62"/>
      <c r="Q219" s="236" cm="1">
        <f t="array" ref="Q219">IF(ISBLANK(P219),INDEX(ProcesCost01[[#All],[Geen]:[Waarde MIN]],_xlfn.XMATCH('SCENARIO 2 - Beste geval'!N219,ProcesCost01[[#All],[Transportkosten]]),_xlfn.XMATCH('SCENARIO 2 - Beste geval'!O219,ProcesCost01[[#Headers],[Geen]:[Waarde MIN]])),P219)</f>
        <v>0.03</v>
      </c>
      <c r="R219" s="185" t="s">
        <v>100</v>
      </c>
      <c r="T219" s="237" t="s">
        <v>99</v>
      </c>
      <c r="U219" s="69" t="s">
        <v>51</v>
      </c>
      <c r="V219" s="62"/>
      <c r="W219" s="236" cm="1">
        <f t="array" ref="W219">IF(ISBLANK(V219),INDEX(ProcesCost01[[#All],[Geen]:[Waarde MIN]],_xlfn.XMATCH('SCENARIO 2 - Beste geval'!T219,ProcesCost01[[#All],[Transportkosten]]),_xlfn.XMATCH('SCENARIO 2 - Beste geval'!U219,ProcesCost01[[#Headers],[Geen]:[Waarde MIN]])),V219)</f>
        <v>0.03</v>
      </c>
      <c r="X219" s="185" t="s">
        <v>100</v>
      </c>
      <c r="Z219" s="237" t="s">
        <v>99</v>
      </c>
      <c r="AA219" s="69" t="s">
        <v>51</v>
      </c>
      <c r="AB219" s="62"/>
      <c r="AC219" s="236" cm="1">
        <f t="array" ref="AC219">IF(ISBLANK(AB219),INDEX(ProcesCost01[[#All],[Geen]:[Waarde MIN]],_xlfn.XMATCH('SCENARIO 2 - Beste geval'!Z219,ProcesCost01[[#All],[Transportkosten]]),_xlfn.XMATCH('SCENARIO 2 - Beste geval'!AA219,ProcesCost01[[#Headers],[Geen]:[Waarde MIN]])),AB219)</f>
        <v>0.03</v>
      </c>
      <c r="AD219" s="185" t="s">
        <v>100</v>
      </c>
      <c r="AF219" s="237" t="s">
        <v>99</v>
      </c>
      <c r="AG219" s="69" t="s">
        <v>51</v>
      </c>
      <c r="AH219" s="62"/>
      <c r="AI219" s="236" cm="1">
        <f t="array" ref="AI219">IF(ISBLANK(AH219),INDEX(ProcesCost01[[#All],[Geen]:[Waarde MIN]],_xlfn.XMATCH('SCENARIO 2 - Beste geval'!AF219,ProcesCost01[[#All],[Transportkosten]]),_xlfn.XMATCH('SCENARIO 2 - Beste geval'!AG219,ProcesCost01[[#Headers],[Geen]:[Waarde MIN]])),AH219)</f>
        <v>0.03</v>
      </c>
      <c r="AJ219" s="185" t="s">
        <v>100</v>
      </c>
    </row>
    <row r="220" spans="8:36" ht="17" thickTop="1" x14ac:dyDescent="0.2">
      <c r="H220" s="207" t="s">
        <v>175</v>
      </c>
      <c r="I220" s="171"/>
      <c r="J220" s="62"/>
      <c r="K220" s="192">
        <f>IF(I215="Nee",0,IF(ISBLANK(J220),K218*K219*K216,J220))</f>
        <v>0</v>
      </c>
      <c r="L220" s="80" t="s">
        <v>102</v>
      </c>
      <c r="N220" s="207" t="s">
        <v>175</v>
      </c>
      <c r="O220" s="171"/>
      <c r="P220" s="62"/>
      <c r="Q220" s="192">
        <f>IF(O215="Nee",0,IF(ISBLANK(P220),Q218*Q219*Q216,P220))</f>
        <v>0</v>
      </c>
      <c r="R220" s="80" t="s">
        <v>102</v>
      </c>
      <c r="T220" s="207" t="s">
        <v>175</v>
      </c>
      <c r="U220" s="171"/>
      <c r="V220" s="62"/>
      <c r="W220" s="192">
        <f>IF(U215="Nee",0,IF(ISBLANK(V220),W218*W219*W216,V220))</f>
        <v>0</v>
      </c>
      <c r="X220" s="80" t="s">
        <v>102</v>
      </c>
      <c r="Z220" s="187" t="s">
        <v>175</v>
      </c>
      <c r="AA220" s="171"/>
      <c r="AB220" s="62"/>
      <c r="AC220" s="192">
        <f>IF(AA215="Nee",0,IF(ISBLANK(AB220),AC218*AC219*AC216,AB220))</f>
        <v>0</v>
      </c>
      <c r="AD220" s="80" t="s">
        <v>102</v>
      </c>
      <c r="AF220" s="207" t="s">
        <v>175</v>
      </c>
      <c r="AG220" s="171"/>
      <c r="AH220" s="62"/>
      <c r="AI220" s="192">
        <f>IF(AG215="Nee",0,IF(ISBLANK(AH220),AI218*AI219*AI216,AH220))</f>
        <v>0</v>
      </c>
      <c r="AJ220" s="80" t="s">
        <v>102</v>
      </c>
    </row>
    <row r="221" spans="8:36" ht="17" thickBot="1" x14ac:dyDescent="0.25">
      <c r="H221" s="260" t="s">
        <v>176</v>
      </c>
      <c r="I221" s="90" t="s">
        <v>25</v>
      </c>
      <c r="J221" s="92" t="s">
        <v>26</v>
      </c>
      <c r="K221" s="171"/>
      <c r="L221" s="80"/>
      <c r="N221" s="260" t="s">
        <v>176</v>
      </c>
      <c r="O221" s="90" t="s">
        <v>25</v>
      </c>
      <c r="P221" s="92" t="s">
        <v>26</v>
      </c>
      <c r="Q221" s="171"/>
      <c r="R221" s="80"/>
      <c r="T221" s="260" t="s">
        <v>176</v>
      </c>
      <c r="U221" s="90" t="s">
        <v>25</v>
      </c>
      <c r="V221" s="92" t="s">
        <v>26</v>
      </c>
      <c r="W221" s="171"/>
      <c r="X221" s="80"/>
      <c r="Z221" s="260" t="s">
        <v>176</v>
      </c>
      <c r="AA221" s="90" t="s">
        <v>25</v>
      </c>
      <c r="AB221" s="92" t="s">
        <v>26</v>
      </c>
      <c r="AC221" s="171"/>
      <c r="AD221" s="80"/>
      <c r="AF221" s="260" t="s">
        <v>176</v>
      </c>
      <c r="AG221" s="90" t="s">
        <v>25</v>
      </c>
      <c r="AH221" s="92" t="s">
        <v>26</v>
      </c>
      <c r="AI221" s="171"/>
      <c r="AJ221" s="80"/>
    </row>
    <row r="222" spans="8:36" ht="18" thickTop="1" thickBot="1" x14ac:dyDescent="0.25">
      <c r="H222" s="237" t="s">
        <v>184</v>
      </c>
      <c r="I222" s="69" t="s">
        <v>51</v>
      </c>
      <c r="J222" s="77"/>
      <c r="K222" s="236" cm="1">
        <f t="array" ref="K222">IF(I215="Nee",0,IF(ISBLANK(J222),INDEX(ProcesCost2[[#All],[Geen]:[Waarde MIN]],_xlfn.XMATCH('SCENARIO 2 - Beste geval'!H222,ProcesCost2[[#All],[Verwerking - Kosten]]),_xlfn.XMATCH('SCENARIO 2 - Beste geval'!I222,ProcesCost2[[#Headers],[Geen]:[Waarde MIN]])),J222))</f>
        <v>0</v>
      </c>
      <c r="L222" s="185" t="s">
        <v>178</v>
      </c>
      <c r="N222" s="237" t="s">
        <v>184</v>
      </c>
      <c r="O222" s="69" t="s">
        <v>51</v>
      </c>
      <c r="P222" s="77"/>
      <c r="Q222" s="236" cm="1">
        <f t="array" ref="Q222">IF(O215="Nee",0,IF(ISBLANK(P222),INDEX(ProcesCost2[[#All],[Geen]:[Waarde MIN]],_xlfn.XMATCH('SCENARIO 2 - Beste geval'!N222,ProcesCost2[[#All],[Verwerking - Kosten]]),_xlfn.XMATCH('SCENARIO 2 - Beste geval'!O222,ProcesCost2[[#Headers],[Geen]:[Waarde MIN]])),P222))</f>
        <v>0</v>
      </c>
      <c r="R222" s="185" t="s">
        <v>178</v>
      </c>
      <c r="T222" s="237" t="s">
        <v>537</v>
      </c>
      <c r="U222" s="69" t="s">
        <v>51</v>
      </c>
      <c r="V222" s="77"/>
      <c r="W222" s="236" cm="1">
        <f t="array" ref="W222">IF(U215="Nee",0,IF(ISBLANK(V222),INDEX(ProcesCost2[[#All],[Geen]:[Waarde MIN]],_xlfn.XMATCH('SCENARIO 2 - Beste geval'!T222,ProcesCost2[[#All],[Verwerking - Kosten]]),_xlfn.XMATCH('SCENARIO 2 - Beste geval'!U222,ProcesCost2[[#Headers],[Geen]:[Waarde MIN]])),V222))</f>
        <v>0</v>
      </c>
      <c r="X222" s="185" t="s">
        <v>178</v>
      </c>
      <c r="Z222" s="237" t="s">
        <v>184</v>
      </c>
      <c r="AA222" s="69" t="s">
        <v>51</v>
      </c>
      <c r="AB222" s="77"/>
      <c r="AC222" s="236" cm="1">
        <f t="array" ref="AC222">IF(AA215="Nee",0,IF(ISBLANK(AB222),INDEX(ProcesCost2[[#All],[Geen]:[Waarde MIN]],_xlfn.XMATCH('SCENARIO 2 - Beste geval'!Z222,ProcesCost2[[#All],[Verwerking - Kosten]]),_xlfn.XMATCH('SCENARIO 2 - Beste geval'!AA222,ProcesCost2[[#Headers],[Geen]:[Waarde MIN]])),AB222))</f>
        <v>5</v>
      </c>
      <c r="AD222" s="185" t="s">
        <v>178</v>
      </c>
      <c r="AF222" s="237" t="s">
        <v>184</v>
      </c>
      <c r="AG222" s="69" t="s">
        <v>51</v>
      </c>
      <c r="AH222" s="77"/>
      <c r="AI222" s="236" cm="1">
        <f t="array" ref="AI222">IF(AG215="Nee",0,IF(ISBLANK(AH222),INDEX(ProcesCost2[[#All],[Geen]:[Waarde MIN]],_xlfn.XMATCH('SCENARIO 2 - Beste geval'!AF222,ProcesCost2[[#All],[Verwerking - Kosten]]),_xlfn.XMATCH('SCENARIO 2 - Beste geval'!AG222,ProcesCost2[[#Headers],[Geen]:[Waarde MIN]])),AH222))</f>
        <v>5</v>
      </c>
      <c r="AJ222" s="185" t="s">
        <v>178</v>
      </c>
    </row>
    <row r="223" spans="8:36" ht="18" thickTop="1" thickBot="1" x14ac:dyDescent="0.25">
      <c r="H223" s="206" t="s">
        <v>179</v>
      </c>
      <c r="I223" s="69" t="s">
        <v>52</v>
      </c>
      <c r="J223" s="76"/>
      <c r="K223" s="241" cm="1">
        <f t="array" ref="K223">INDEX(ProcesCost21[[#All],[Geen]:[Waarde MIN]],_xlfn.XMATCH('SCENARIO 2 - Beste geval'!H222,ProcesCost21[[#All],[Verwerking - Producteffciency]]),_xlfn.XMATCH('SCENARIO 2 - Beste geval'!I223,ProcesCost21[[#Headers],[Geen]:[Waarde MIN]]))</f>
        <v>1</v>
      </c>
      <c r="L223" s="185" t="s">
        <v>58</v>
      </c>
      <c r="N223" s="206" t="s">
        <v>179</v>
      </c>
      <c r="O223" s="69" t="s">
        <v>52</v>
      </c>
      <c r="P223" s="76"/>
      <c r="Q223" s="241" cm="1">
        <f t="array" ref="Q223">INDEX(ProcesCost21[[#All],[Geen]:[Waarde MIN]],_xlfn.XMATCH('SCENARIO 2 - Beste geval'!N222,ProcesCost21[[#All],[Verwerking - Producteffciency]]),_xlfn.XMATCH('SCENARIO 2 - Beste geval'!O223,ProcesCost21[[#Headers],[Geen]:[Waarde MIN]]))</f>
        <v>1</v>
      </c>
      <c r="R223" s="185" t="s">
        <v>58</v>
      </c>
      <c r="T223" s="206" t="s">
        <v>179</v>
      </c>
      <c r="U223" s="69" t="s">
        <v>52</v>
      </c>
      <c r="V223" s="76"/>
      <c r="W223" s="241" cm="1">
        <f t="array" ref="W223">INDEX(ProcesCost21[[#All],[Geen]:[Waarde MIN]],_xlfn.XMATCH('SCENARIO 2 - Beste geval'!T222,ProcesCost21[[#All],[Verwerking - Producteffciency]]),_xlfn.XMATCH('SCENARIO 2 - Beste geval'!U223,ProcesCost21[[#Headers],[Geen]:[Waarde MIN]]))</f>
        <v>1</v>
      </c>
      <c r="X223" s="185" t="s">
        <v>58</v>
      </c>
      <c r="Z223" s="206" t="s">
        <v>179</v>
      </c>
      <c r="AA223" s="69" t="s">
        <v>52</v>
      </c>
      <c r="AB223" s="76"/>
      <c r="AC223" s="241" cm="1">
        <f t="array" ref="AC223">INDEX(ProcesCost21[[#All],[Geen]:[Waarde MIN]],_xlfn.XMATCH('SCENARIO 2 - Beste geval'!Z222,ProcesCost21[[#All],[Verwerking - Producteffciency]]),_xlfn.XMATCH('SCENARIO 2 - Beste geval'!AA223,ProcesCost21[[#Headers],[Geen]:[Waarde MIN]]))</f>
        <v>1</v>
      </c>
      <c r="AD223" s="185" t="s">
        <v>58</v>
      </c>
      <c r="AF223" s="206" t="s">
        <v>179</v>
      </c>
      <c r="AG223" s="69" t="s">
        <v>52</v>
      </c>
      <c r="AH223" s="76"/>
      <c r="AI223" s="241" cm="1">
        <f t="array" ref="AI223">INDEX(ProcesCost21[[#All],[Geen]:[Waarde MIN]],_xlfn.XMATCH('SCENARIO 2 - Beste geval'!AF222,ProcesCost21[[#All],[Verwerking - Producteffciency]]),_xlfn.XMATCH('SCENARIO 2 - Beste geval'!AG223,ProcesCost21[[#Headers],[Geen]:[Waarde MIN]]))</f>
        <v>1</v>
      </c>
      <c r="AJ223" s="185" t="s">
        <v>58</v>
      </c>
    </row>
    <row r="224" spans="8:36" ht="17" thickTop="1" x14ac:dyDescent="0.2">
      <c r="H224" s="207" t="s">
        <v>180</v>
      </c>
      <c r="I224" s="171"/>
      <c r="J224" s="264"/>
      <c r="K224" s="174">
        <f>IFERROR(IF(ISBLANK(J224),K216*K222,J224),0)</f>
        <v>0</v>
      </c>
      <c r="L224" s="80" t="s">
        <v>102</v>
      </c>
      <c r="N224" s="207" t="s">
        <v>180</v>
      </c>
      <c r="O224" s="171"/>
      <c r="P224" s="264"/>
      <c r="Q224" s="174">
        <f>IFERROR(IF(ISBLANK(P224),Q216*Q222,P224),0)</f>
        <v>0</v>
      </c>
      <c r="R224" s="80" t="s">
        <v>102</v>
      </c>
      <c r="T224" s="207" t="s">
        <v>180</v>
      </c>
      <c r="U224" s="171"/>
      <c r="V224" s="264"/>
      <c r="W224" s="174">
        <f>IFERROR(IF(ISBLANK(V224),W216*W222,V224),0)</f>
        <v>0</v>
      </c>
      <c r="X224" s="80" t="s">
        <v>102</v>
      </c>
      <c r="Z224" s="207" t="s">
        <v>180</v>
      </c>
      <c r="AA224" s="171"/>
      <c r="AB224" s="264"/>
      <c r="AC224" s="174">
        <f>IFERROR(IF(ISBLANK(AB224),AC216*AC222,AB224),0)</f>
        <v>917.52577319587635</v>
      </c>
      <c r="AD224" s="80" t="s">
        <v>102</v>
      </c>
      <c r="AF224" s="207" t="s">
        <v>180</v>
      </c>
      <c r="AG224" s="171"/>
      <c r="AH224" s="264"/>
      <c r="AI224" s="174">
        <f>IFERROR(IF(ISBLANK(AH224),AI216*AI222,AH224),0)</f>
        <v>988.88888888888891</v>
      </c>
      <c r="AJ224" s="80" t="s">
        <v>102</v>
      </c>
    </row>
    <row r="225" spans="2:36" x14ac:dyDescent="0.2">
      <c r="H225" s="207" t="s">
        <v>181</v>
      </c>
      <c r="I225" s="171"/>
      <c r="J225" s="171"/>
      <c r="K225" s="259">
        <f>IF(I215="Nee",0,K216*K223)</f>
        <v>0</v>
      </c>
      <c r="L225" s="80" t="s">
        <v>86</v>
      </c>
      <c r="N225" s="207" t="s">
        <v>181</v>
      </c>
      <c r="O225" s="171"/>
      <c r="P225" s="171"/>
      <c r="Q225" s="259">
        <f>IF(O215="Nee",0,Q216*Q223)</f>
        <v>0</v>
      </c>
      <c r="R225" s="80" t="s">
        <v>86</v>
      </c>
      <c r="T225" s="207" t="s">
        <v>181</v>
      </c>
      <c r="U225" s="171"/>
      <c r="V225" s="171"/>
      <c r="W225" s="259">
        <f>IF(U215="Nee",0,W216*W223)</f>
        <v>0</v>
      </c>
      <c r="X225" s="80" t="s">
        <v>86</v>
      </c>
      <c r="Z225" s="207" t="s">
        <v>181</v>
      </c>
      <c r="AA225" s="171"/>
      <c r="AB225" s="171"/>
      <c r="AC225" s="259">
        <f>IF(AA215="Nee",0,AC216*AC223)</f>
        <v>183.50515463917526</v>
      </c>
      <c r="AD225" s="80" t="s">
        <v>86</v>
      </c>
      <c r="AF225" s="207" t="s">
        <v>181</v>
      </c>
      <c r="AG225" s="171"/>
      <c r="AH225" s="171"/>
      <c r="AI225" s="259">
        <f>IF(AG215="Nee",0,AI216*AI223)</f>
        <v>197.77777777777777</v>
      </c>
      <c r="AJ225" s="80" t="s">
        <v>86</v>
      </c>
    </row>
    <row r="226" spans="2:36" x14ac:dyDescent="0.2">
      <c r="H226" s="207" t="s">
        <v>120</v>
      </c>
      <c r="I226" s="171"/>
      <c r="J226" s="171"/>
      <c r="K226" s="259">
        <f>IF(I215="Nee",0,K216-K225)</f>
        <v>0</v>
      </c>
      <c r="L226" s="80" t="s">
        <v>86</v>
      </c>
      <c r="N226" s="207" t="s">
        <v>120</v>
      </c>
      <c r="O226" s="171"/>
      <c r="P226" s="171"/>
      <c r="Q226" s="259">
        <f>IF(O215="Nee",0,Q216-Q225)</f>
        <v>0</v>
      </c>
      <c r="R226" s="80" t="s">
        <v>86</v>
      </c>
      <c r="T226" s="207" t="s">
        <v>120</v>
      </c>
      <c r="U226" s="171"/>
      <c r="V226" s="171"/>
      <c r="W226" s="259">
        <f>IF(U215="Nee",0,W216-W225)</f>
        <v>0</v>
      </c>
      <c r="X226" s="80" t="s">
        <v>86</v>
      </c>
      <c r="Z226" s="207" t="s">
        <v>120</v>
      </c>
      <c r="AA226" s="171"/>
      <c r="AB226" s="171"/>
      <c r="AC226" s="259">
        <f>IF(AA215="Nee",0,AC216-AC225)</f>
        <v>0</v>
      </c>
      <c r="AD226" s="80" t="s">
        <v>86</v>
      </c>
      <c r="AF226" s="207" t="s">
        <v>120</v>
      </c>
      <c r="AG226" s="171"/>
      <c r="AH226" s="171"/>
      <c r="AI226" s="259">
        <f>IF(AG215="Nee",0,AI216-AI225)</f>
        <v>0</v>
      </c>
      <c r="AJ226" s="80" t="s">
        <v>86</v>
      </c>
    </row>
    <row r="227" spans="2:36" x14ac:dyDescent="0.2">
      <c r="H227" s="79"/>
      <c r="I227" s="171"/>
      <c r="J227" s="171"/>
      <c r="K227" s="171"/>
      <c r="L227" s="80"/>
      <c r="N227" s="79"/>
      <c r="O227" s="171"/>
      <c r="P227" s="171"/>
      <c r="Q227" s="171"/>
      <c r="R227" s="80"/>
      <c r="T227" s="79"/>
      <c r="U227" s="171"/>
      <c r="V227" s="171"/>
      <c r="W227" s="171"/>
      <c r="X227" s="80"/>
      <c r="Z227" s="79"/>
      <c r="AA227" s="171"/>
      <c r="AB227" s="171"/>
      <c r="AC227" s="171"/>
      <c r="AD227" s="80"/>
      <c r="AF227" s="79"/>
      <c r="AG227" s="171"/>
      <c r="AH227" s="171"/>
      <c r="AI227" s="171"/>
      <c r="AJ227" s="80"/>
    </row>
    <row r="228" spans="2:36" x14ac:dyDescent="0.2">
      <c r="H228" s="109" t="s">
        <v>185</v>
      </c>
      <c r="I228" s="171"/>
      <c r="J228" s="171"/>
      <c r="K228" s="171"/>
      <c r="L228" s="80"/>
      <c r="N228" s="109" t="s">
        <v>185</v>
      </c>
      <c r="O228" s="171"/>
      <c r="P228" s="171"/>
      <c r="Q228" s="171"/>
      <c r="R228" s="80"/>
      <c r="T228" s="109" t="s">
        <v>185</v>
      </c>
      <c r="U228" s="171"/>
      <c r="V228" s="171"/>
      <c r="W228" s="171"/>
      <c r="X228" s="80"/>
      <c r="Z228" s="109" t="s">
        <v>185</v>
      </c>
      <c r="AA228" s="171"/>
      <c r="AB228" s="171"/>
      <c r="AC228" s="171"/>
      <c r="AD228" s="80"/>
      <c r="AF228" s="109" t="s">
        <v>185</v>
      </c>
      <c r="AG228" s="171"/>
      <c r="AH228" s="171"/>
      <c r="AI228" s="171"/>
      <c r="AJ228" s="80"/>
    </row>
    <row r="229" spans="2:36" x14ac:dyDescent="0.2">
      <c r="H229" s="207" t="s">
        <v>186</v>
      </c>
      <c r="I229" s="265"/>
      <c r="J229" s="266"/>
      <c r="K229" s="219">
        <f>IF(I215="Ja",K225,IF(I202="Ja",K212,IF(I185="Ja",K199,K183)))</f>
        <v>198.33333333333331</v>
      </c>
      <c r="L229" s="80" t="s">
        <v>86</v>
      </c>
      <c r="N229" s="207" t="s">
        <v>186</v>
      </c>
      <c r="O229" s="267"/>
      <c r="P229" s="267"/>
      <c r="Q229" s="219">
        <f>IF(O215="Ja",Q225,IF(O202="Ja",Q212,IF(O185="Ja",Q199,Q183)))</f>
        <v>38.265306122448983</v>
      </c>
      <c r="R229" s="80" t="s">
        <v>86</v>
      </c>
      <c r="T229" s="207" t="s">
        <v>186</v>
      </c>
      <c r="U229" s="267"/>
      <c r="V229" s="267"/>
      <c r="W229" s="219">
        <f>IF(U215="Ja",W225,IF(U202="Ja",W212,IF(U185="Ja",W199,W183)))</f>
        <v>197.77777777777777</v>
      </c>
      <c r="X229" s="80" t="s">
        <v>86</v>
      </c>
      <c r="Z229" s="207" t="s">
        <v>186</v>
      </c>
      <c r="AA229" s="267"/>
      <c r="AB229" s="267"/>
      <c r="AC229" s="219">
        <f>IF(AA215="Ja",AC225,IF(AA202="Ja",AC212,IF(AA185="Ja",AC199,AC183)))</f>
        <v>183.50515463917526</v>
      </c>
      <c r="AD229" s="80" t="s">
        <v>86</v>
      </c>
      <c r="AF229" s="207" t="s">
        <v>186</v>
      </c>
      <c r="AG229" s="267"/>
      <c r="AH229" s="267"/>
      <c r="AI229" s="219">
        <f>IF(AG215="Ja",AI225,IF(AG202="Ja",AI212,IF(AG185="Ja",AI199,AI183)))</f>
        <v>197.77777777777777</v>
      </c>
      <c r="AJ229" s="80" t="s">
        <v>86</v>
      </c>
    </row>
    <row r="230" spans="2:36" x14ac:dyDescent="0.2">
      <c r="H230" s="260" t="s">
        <v>187</v>
      </c>
      <c r="I230" s="90" t="s">
        <v>25</v>
      </c>
      <c r="J230" s="92" t="s">
        <v>26</v>
      </c>
      <c r="K230" s="219"/>
      <c r="L230" s="80"/>
      <c r="N230" s="260" t="s">
        <v>187</v>
      </c>
      <c r="O230" s="90" t="s">
        <v>25</v>
      </c>
      <c r="P230" s="92" t="s">
        <v>26</v>
      </c>
      <c r="Q230" s="219"/>
      <c r="R230" s="80"/>
      <c r="T230" s="260" t="s">
        <v>187</v>
      </c>
      <c r="U230" s="90" t="s">
        <v>25</v>
      </c>
      <c r="V230" s="92" t="s">
        <v>26</v>
      </c>
      <c r="W230" s="219"/>
      <c r="X230" s="80"/>
      <c r="Z230" s="260" t="s">
        <v>187</v>
      </c>
      <c r="AA230" s="90" t="s">
        <v>25</v>
      </c>
      <c r="AB230" s="92" t="s">
        <v>26</v>
      </c>
      <c r="AC230" s="219"/>
      <c r="AD230" s="80"/>
      <c r="AF230" s="260" t="s">
        <v>187</v>
      </c>
      <c r="AG230" s="90" t="s">
        <v>25</v>
      </c>
      <c r="AH230" s="92" t="s">
        <v>26</v>
      </c>
      <c r="AI230" s="219"/>
      <c r="AJ230" s="80"/>
    </row>
    <row r="231" spans="2:36" ht="17" thickBot="1" x14ac:dyDescent="0.25">
      <c r="H231" s="187" t="s">
        <v>188</v>
      </c>
      <c r="I231" s="171"/>
      <c r="J231" s="62">
        <v>85</v>
      </c>
      <c r="K231" s="104">
        <f>J231</f>
        <v>85</v>
      </c>
      <c r="L231" s="185" t="s">
        <v>97</v>
      </c>
      <c r="N231" s="187" t="s">
        <v>188</v>
      </c>
      <c r="O231" s="171"/>
      <c r="P231" s="62">
        <v>85</v>
      </c>
      <c r="Q231" s="104">
        <f>P231</f>
        <v>85</v>
      </c>
      <c r="R231" s="185" t="s">
        <v>97</v>
      </c>
      <c r="T231" s="187" t="s">
        <v>188</v>
      </c>
      <c r="U231" s="171"/>
      <c r="V231" s="62">
        <v>85</v>
      </c>
      <c r="W231" s="104">
        <f>V231</f>
        <v>85</v>
      </c>
      <c r="X231" s="185" t="s">
        <v>97</v>
      </c>
      <c r="Z231" s="187" t="s">
        <v>188</v>
      </c>
      <c r="AA231" s="171"/>
      <c r="AB231" s="62">
        <v>85</v>
      </c>
      <c r="AC231" s="104">
        <f>AB231</f>
        <v>85</v>
      </c>
      <c r="AD231" s="185" t="s">
        <v>97</v>
      </c>
      <c r="AF231" s="187" t="s">
        <v>188</v>
      </c>
      <c r="AG231" s="171"/>
      <c r="AH231" s="62">
        <v>85</v>
      </c>
      <c r="AI231" s="104">
        <f>AH231</f>
        <v>85</v>
      </c>
      <c r="AJ231" s="185" t="s">
        <v>97</v>
      </c>
    </row>
    <row r="232" spans="2:36" ht="18" thickTop="1" thickBot="1" x14ac:dyDescent="0.25">
      <c r="H232" s="237" t="s">
        <v>99</v>
      </c>
      <c r="I232" s="69" t="s">
        <v>51</v>
      </c>
      <c r="J232" s="62"/>
      <c r="K232" s="236" cm="1">
        <f t="array" ref="K232">IF(ISBLANK(J232),INDEX(ProcesCost01[[#All],[Geen]:[Waarde MIN]],_xlfn.XMATCH('SCENARIO 2 - Beste geval'!H232,ProcesCost01[[#All],[Transportkosten]]),_xlfn.XMATCH('SCENARIO 2 - Beste geval'!I232,ProcesCost01[[#Headers],[Geen]:[Waarde MIN]])),J232)</f>
        <v>0.03</v>
      </c>
      <c r="L232" s="185" t="s">
        <v>100</v>
      </c>
      <c r="N232" s="237" t="s">
        <v>99</v>
      </c>
      <c r="O232" s="69" t="s">
        <v>51</v>
      </c>
      <c r="P232" s="62"/>
      <c r="Q232" s="236" cm="1">
        <f t="array" ref="Q232">IF(ISBLANK(P232),INDEX(ProcesCost01[[#All],[Geen]:[Waarde MIN]],_xlfn.XMATCH('SCENARIO 2 - Beste geval'!N232,ProcesCost01[[#All],[Transportkosten]]),_xlfn.XMATCH('SCENARIO 2 - Beste geval'!O232,ProcesCost01[[#Headers],[Geen]:[Waarde MIN]])),P232)</f>
        <v>0.03</v>
      </c>
      <c r="R232" s="185" t="s">
        <v>100</v>
      </c>
      <c r="T232" s="237" t="s">
        <v>99</v>
      </c>
      <c r="U232" s="69" t="s">
        <v>51</v>
      </c>
      <c r="V232" s="62"/>
      <c r="W232" s="236" cm="1">
        <f t="array" ref="W232">IF(ISBLANK(V232),INDEX(ProcesCost01[[#All],[Geen]:[Waarde MIN]],_xlfn.XMATCH('SCENARIO 2 - Beste geval'!T232,ProcesCost01[[#All],[Transportkosten]]),_xlfn.XMATCH('SCENARIO 2 - Beste geval'!U232,ProcesCost01[[#Headers],[Geen]:[Waarde MIN]])),V232)</f>
        <v>0.03</v>
      </c>
      <c r="X232" s="185" t="s">
        <v>100</v>
      </c>
      <c r="Z232" s="237" t="s">
        <v>99</v>
      </c>
      <c r="AA232" s="69" t="s">
        <v>51</v>
      </c>
      <c r="AB232" s="62"/>
      <c r="AC232" s="236" cm="1">
        <f t="array" ref="AC232">IF(ISBLANK(AB232),INDEX(ProcesCost01[[#All],[Geen]:[Waarde MIN]],_xlfn.XMATCH('SCENARIO 2 - Beste geval'!Z232,ProcesCost01[[#All],[Transportkosten]]),_xlfn.XMATCH('SCENARIO 2 - Beste geval'!AA232,ProcesCost01[[#Headers],[Geen]:[Waarde MIN]])),AB232)</f>
        <v>0.03</v>
      </c>
      <c r="AD232" s="185" t="s">
        <v>100</v>
      </c>
      <c r="AF232" s="237" t="s">
        <v>99</v>
      </c>
      <c r="AG232" s="69" t="s">
        <v>51</v>
      </c>
      <c r="AH232" s="62"/>
      <c r="AI232" s="236" cm="1">
        <f t="array" ref="AI232">IF(ISBLANK(AH232),INDEX(ProcesCost01[[#All],[Geen]:[Waarde MIN]],_xlfn.XMATCH('SCENARIO 2 - Beste geval'!AF232,ProcesCost01[[#All],[Transportkosten]]),_xlfn.XMATCH('SCENARIO 2 - Beste geval'!AG232,ProcesCost01[[#Headers],[Geen]:[Waarde MIN]])),AH232)</f>
        <v>0.03</v>
      </c>
      <c r="AJ232" s="185" t="s">
        <v>100</v>
      </c>
    </row>
    <row r="233" spans="2:36" ht="17" thickTop="1" x14ac:dyDescent="0.2">
      <c r="H233" s="207" t="s">
        <v>189</v>
      </c>
      <c r="I233" s="171"/>
      <c r="J233" s="62"/>
      <c r="K233" s="192">
        <f>IF(ISBLANK(J233),K231*K232*K229,J233)</f>
        <v>505.74999999999994</v>
      </c>
      <c r="L233" s="80" t="s">
        <v>102</v>
      </c>
      <c r="N233" s="207" t="s">
        <v>189</v>
      </c>
      <c r="O233" s="171"/>
      <c r="P233" s="62"/>
      <c r="Q233" s="192">
        <f>IF(ISBLANK(P233),Q231*Q232*Q229,P233)</f>
        <v>97.576530612244895</v>
      </c>
      <c r="R233" s="80" t="s">
        <v>102</v>
      </c>
      <c r="T233" s="207" t="s">
        <v>189</v>
      </c>
      <c r="U233" s="171"/>
      <c r="V233" s="62"/>
      <c r="W233" s="192">
        <f>IF(ISBLANK(V233),W231*W232*W229,V233)</f>
        <v>504.33333333333326</v>
      </c>
      <c r="X233" s="80" t="s">
        <v>102</v>
      </c>
      <c r="Z233" s="207" t="s">
        <v>189</v>
      </c>
      <c r="AA233" s="171"/>
      <c r="AB233" s="62"/>
      <c r="AC233" s="192">
        <f>IF(ISBLANK(AB233),AC231*AC232*AC229,AB233)</f>
        <v>467.93814432989689</v>
      </c>
      <c r="AD233" s="80" t="s">
        <v>102</v>
      </c>
      <c r="AF233" s="231" t="s">
        <v>189</v>
      </c>
      <c r="AG233" s="171"/>
      <c r="AH233" s="62"/>
      <c r="AI233" s="192">
        <f>IF(ISBLANK(AH233),AI231*AI232*AI229,AH233)</f>
        <v>504.33333333333326</v>
      </c>
      <c r="AJ233" s="80" t="s">
        <v>102</v>
      </c>
    </row>
    <row r="234" spans="2:36" x14ac:dyDescent="0.2">
      <c r="H234" s="81"/>
      <c r="I234" s="172"/>
      <c r="J234" s="172"/>
      <c r="K234" s="172"/>
      <c r="L234" s="82"/>
      <c r="N234" s="81"/>
      <c r="O234" s="172"/>
      <c r="P234" s="172"/>
      <c r="Q234" s="172"/>
      <c r="R234" s="82"/>
      <c r="T234" s="81"/>
      <c r="U234" s="172"/>
      <c r="V234" s="172"/>
      <c r="W234" s="172"/>
      <c r="X234" s="82"/>
      <c r="Z234" s="81"/>
      <c r="AA234" s="172"/>
      <c r="AB234" s="172"/>
      <c r="AC234" s="172"/>
      <c r="AD234" s="82"/>
      <c r="AF234" s="81"/>
      <c r="AG234" s="172"/>
      <c r="AH234" s="172"/>
      <c r="AI234" s="172"/>
      <c r="AJ234" s="82"/>
    </row>
    <row r="236" spans="2:36" s="106" customFormat="1" ht="17" x14ac:dyDescent="0.2">
      <c r="B236" s="105" t="s">
        <v>190</v>
      </c>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row>
    <row r="237" spans="2:36" x14ac:dyDescent="0.2">
      <c r="E237" s="3"/>
    </row>
    <row r="238" spans="2:36" x14ac:dyDescent="0.2">
      <c r="B238" s="87" t="s">
        <v>191</v>
      </c>
      <c r="C238" s="91"/>
      <c r="D238" s="173"/>
      <c r="E238" s="126"/>
      <c r="F238" s="85"/>
      <c r="H238" s="345" t="s">
        <v>192</v>
      </c>
      <c r="I238" s="346"/>
      <c r="J238" s="347"/>
      <c r="K238" s="348"/>
      <c r="L238" s="349"/>
      <c r="N238" s="87" t="s">
        <v>707</v>
      </c>
      <c r="O238" s="91"/>
      <c r="P238" s="173"/>
      <c r="Q238" s="126"/>
      <c r="R238" s="85"/>
    </row>
    <row r="239" spans="2:36" ht="17" thickBot="1" x14ac:dyDescent="0.25">
      <c r="B239" s="125"/>
      <c r="C239" s="90" t="s">
        <v>25</v>
      </c>
      <c r="D239" s="92" t="s">
        <v>26</v>
      </c>
      <c r="E239" s="393" t="s">
        <v>46</v>
      </c>
      <c r="F239" s="394" t="s">
        <v>47</v>
      </c>
      <c r="H239" s="350"/>
      <c r="I239" s="324" t="s">
        <v>25</v>
      </c>
      <c r="J239" s="92" t="s">
        <v>26</v>
      </c>
      <c r="K239" s="393" t="s">
        <v>46</v>
      </c>
      <c r="L239" s="351" t="s">
        <v>47</v>
      </c>
      <c r="N239" s="125"/>
      <c r="O239" s="90" t="s">
        <v>25</v>
      </c>
      <c r="P239" s="92" t="s">
        <v>26</v>
      </c>
      <c r="Q239" s="393" t="s">
        <v>46</v>
      </c>
      <c r="R239" s="394" t="s">
        <v>47</v>
      </c>
    </row>
    <row r="240" spans="2:36" ht="18" thickTop="1" thickBot="1" x14ac:dyDescent="0.25">
      <c r="B240" s="89" t="s">
        <v>645</v>
      </c>
      <c r="C240" s="69" t="s">
        <v>52</v>
      </c>
      <c r="D240" s="62"/>
      <c r="E240" s="56" cm="1">
        <f t="array" ref="E240">INDEX(Tabel3[[#All],[Geen]:[Waarde MIN]],_xlfn.XMATCH('SCENARIO 2 - Beste geval'!B240,Tabel3[[#All],[Overige inkomsten]]),_xlfn.XMATCH('SCENARIO 2 - Beste geval'!C240,Tabel3[[#Headers],[Geen]:[Waarde MIN]]))</f>
        <v>400</v>
      </c>
      <c r="F240" s="88">
        <f>IF(ISBLANK(D240),E240*$E$41,D240*$E$41)</f>
        <v>20000</v>
      </c>
      <c r="H240" s="352" t="str">
        <f>'DATA - Variabelen &amp; waarden'!B400</f>
        <v>GLB - basisbetaling</v>
      </c>
      <c r="I240" s="69" t="s">
        <v>52</v>
      </c>
      <c r="J240" s="62"/>
      <c r="K240" s="68" cm="1">
        <f t="array" ref="K240">_xlfn.XLOOKUP(I240,Tabel41[[#Headers],[Geen]:[Waarde MIN]],'DATA - Variabelen &amp; waarden'!D400:G400,"Selecteer waarde")</f>
        <v>275</v>
      </c>
      <c r="L240" s="353">
        <f>IF(ISBLANK(J240),K240*$E$41,J240*$E$41)</f>
        <v>13750</v>
      </c>
      <c r="N240" s="89" t="s">
        <v>194</v>
      </c>
      <c r="O240" s="69" t="s">
        <v>52</v>
      </c>
      <c r="P240" s="93"/>
      <c r="Q240" s="56" cm="1">
        <f t="array" ref="Q240">INDEX(Tabel36[[#All],[Geen]:[Waarde MIN]],_xlfn.XMATCH('SCENARIO 2 - Beste geval'!N240,Tabel36[[#All],[Referentie inkomsten - netto bedrijfsresultaten]]),_xlfn.XMATCH('SCENARIO 2 - Beste geval'!O240,Tabel36[[#Headers],[Geen]:[Waarde MIN]]))</f>
        <v>1407.1556350626117</v>
      </c>
      <c r="R240" s="88">
        <f>IF(ISBLANK(P240),Q240*$E$41,P240*$E$41)</f>
        <v>70357.781753130592</v>
      </c>
    </row>
    <row r="241" spans="2:36" ht="18" thickTop="1" thickBot="1" x14ac:dyDescent="0.25">
      <c r="B241" s="89" t="s">
        <v>195</v>
      </c>
      <c r="C241" s="69" t="s">
        <v>52</v>
      </c>
      <c r="D241" s="62"/>
      <c r="E241" s="56" cm="1">
        <f t="array" ref="E241">INDEX(Tabel3[[#All],[Geen]:[Waarde MIN]],_xlfn.XMATCH('SCENARIO 2 - Beste geval'!B241,Tabel3[[#All],[Overige inkomsten]]),_xlfn.XMATCH('SCENARIO 2 - Beste geval'!C241,Tabel3[[#Headers],[Geen]:[Waarde MIN]]))</f>
        <v>100</v>
      </c>
      <c r="F241" s="88">
        <f>IF(ISBLANK(D241),E241*$E$41,D241*$E$41)</f>
        <v>5000</v>
      </c>
      <c r="H241" s="352" t="str">
        <f>'DATA - Variabelen &amp; waarden'!B401</f>
        <v>GLB - vergroeningsbetaling</v>
      </c>
      <c r="I241" s="69" t="s">
        <v>52</v>
      </c>
      <c r="J241" s="62"/>
      <c r="K241" s="68" cm="1">
        <f t="array" ref="K241">_xlfn.XLOOKUP(I241,Tabel41[[#Headers],[Geen]:[Waarde MIN]],'DATA - Variabelen &amp; waarden'!D401:G401,"Selecteer waarde")</f>
        <v>175</v>
      </c>
      <c r="L241" s="353">
        <f>IF(ISBLANK(J241),K241*$E$41,J241*$E$41)</f>
        <v>8750</v>
      </c>
      <c r="N241" s="89" t="s">
        <v>196</v>
      </c>
      <c r="O241" s="69" t="s">
        <v>52</v>
      </c>
      <c r="P241" s="93"/>
      <c r="Q241" s="56" cm="1">
        <f t="array" ref="Q241">INDEX(Tabel36[[#All],[Geen]:[Waarde MIN]],_xlfn.XMATCH('SCENARIO 2 - Beste geval'!N241,Tabel36[[#All],[Referentie inkomsten - netto bedrijfsresultaten]]),_xlfn.XMATCH('SCENARIO 2 - Beste geval'!O241,Tabel36[[#Headers],[Geen]:[Waarde MIN]]))</f>
        <v>2160</v>
      </c>
      <c r="R241" s="88">
        <f t="shared" ref="R241:R244" si="5">IF(ISBLANK(P241),Q241*$E$41,P241*$E$41)</f>
        <v>108000</v>
      </c>
    </row>
    <row r="242" spans="2:36" ht="18" thickTop="1" thickBot="1" x14ac:dyDescent="0.25">
      <c r="B242" s="89" t="s">
        <v>547</v>
      </c>
      <c r="C242" s="69" t="s">
        <v>52</v>
      </c>
      <c r="D242" s="62"/>
      <c r="E242" s="56" cm="1">
        <f t="array" ref="E242">INDEX(Tabel3[[#All],[Geen]:[Waarde MIN]],_xlfn.XMATCH('SCENARIO 2 - Beste geval'!B242,Tabel3[[#All],[Overige inkomsten]]),_xlfn.XMATCH('SCENARIO 2 - Beste geval'!C242,Tabel3[[#Headers],[Geen]:[Waarde MIN]]))</f>
        <v>0</v>
      </c>
      <c r="F242" s="88">
        <f>IF(ISBLANK(D242),E242*$E$41,D242*$E$41)</f>
        <v>0</v>
      </c>
      <c r="H242" s="352" t="str">
        <f>'DATA - Variabelen &amp; waarden'!B402</f>
        <v>Concept GLB - peil -30 tot 0</v>
      </c>
      <c r="I242" s="69" t="s">
        <v>63</v>
      </c>
      <c r="J242" s="62"/>
      <c r="K242" s="56" cm="1">
        <f t="array" ref="K242">_xlfn.XLOOKUP(I242,Tabel41[[#Headers],[Geen]:[Waarde MIN]],'DATA - Variabelen &amp; waarden'!D402:G402,"Selecteer waarde")</f>
        <v>0</v>
      </c>
      <c r="L242" s="353">
        <f t="shared" ref="L242:L243" si="6">IF(ISBLANK(J242),K242*$E$41,J242*$E$41)</f>
        <v>0</v>
      </c>
      <c r="N242" s="89" t="s">
        <v>197</v>
      </c>
      <c r="O242" s="69" t="s">
        <v>52</v>
      </c>
      <c r="P242" s="93"/>
      <c r="Q242" s="56" cm="1">
        <f t="array" ref="Q242">INDEX(Tabel36[[#All],[Geen]:[Waarde MIN]],_xlfn.XMATCH('SCENARIO 2 - Beste geval'!N242,Tabel36[[#All],[Referentie inkomsten - netto bedrijfsresultaten]]),_xlfn.XMATCH('SCENARIO 2 - Beste geval'!O242,Tabel36[[#Headers],[Geen]:[Waarde MIN]]))</f>
        <v>3836</v>
      </c>
      <c r="R242" s="88">
        <f t="shared" si="5"/>
        <v>191800</v>
      </c>
    </row>
    <row r="243" spans="2:36" ht="18" thickTop="1" thickBot="1" x14ac:dyDescent="0.25">
      <c r="B243" s="89" t="s">
        <v>63</v>
      </c>
      <c r="C243" s="69" t="s">
        <v>52</v>
      </c>
      <c r="D243" s="62"/>
      <c r="E243" s="56" cm="1">
        <f t="array" ref="E243">INDEX(Tabel3[[#All],[Geen]:[Waarde MIN]],_xlfn.XMATCH('SCENARIO 2 - Beste geval'!B243,Tabel3[[#All],[Overige inkomsten]]),_xlfn.XMATCH('SCENARIO 2 - Beste geval'!C243,Tabel3[[#Headers],[Geen]:[Waarde MIN]]))</f>
        <v>0</v>
      </c>
      <c r="F243" s="88">
        <f>IF(ISBLANK(D243),E243*$E$41,D243*$E$41)</f>
        <v>0</v>
      </c>
      <c r="H243" s="352" t="str">
        <f>'DATA - Variabelen &amp; waarden'!B403</f>
        <v>Concept GLB - peil -30 tot -21</v>
      </c>
      <c r="I243" s="69" t="s">
        <v>63</v>
      </c>
      <c r="J243" s="62"/>
      <c r="K243" s="56" cm="1">
        <f t="array" ref="K243">_xlfn.XLOOKUP(I243,Tabel41[[#Headers],[Geen]:[Waarde MIN]],'DATA - Variabelen &amp; waarden'!D403:G403,"Selecteer waarde")</f>
        <v>0</v>
      </c>
      <c r="L243" s="353">
        <f t="shared" si="6"/>
        <v>0</v>
      </c>
      <c r="N243" s="89" t="s">
        <v>63</v>
      </c>
      <c r="O243" s="69" t="s">
        <v>52</v>
      </c>
      <c r="P243" s="93"/>
      <c r="Q243" s="314" cm="1">
        <f t="array" ref="Q243">INDEX(Tabel36[[#All],[Geen]:[Waarde MIN]],_xlfn.XMATCH('SCENARIO 2 - Beste geval'!N243,Tabel36[[#All],[Referentie inkomsten - netto bedrijfsresultaten]]),_xlfn.XMATCH('SCENARIO 2 - Beste geval'!O243,Tabel36[[#Headers],[Geen]:[Waarde MIN]]))</f>
        <v>0</v>
      </c>
      <c r="R243" s="88">
        <f t="shared" si="5"/>
        <v>0</v>
      </c>
    </row>
    <row r="244" spans="2:36" ht="18" thickTop="1" thickBot="1" x14ac:dyDescent="0.25">
      <c r="B244" s="89" t="s">
        <v>63</v>
      </c>
      <c r="C244" s="69" t="s">
        <v>52</v>
      </c>
      <c r="D244" s="62"/>
      <c r="E244" s="56" cm="1">
        <f t="array" ref="E244">INDEX(Tabel3[[#All],[Geen]:[Waarde MIN]],_xlfn.XMATCH('SCENARIO 2 - Beste geval'!B244,Tabel3[[#All],[Overige inkomsten]]),_xlfn.XMATCH('SCENARIO 2 - Beste geval'!C244,Tabel3[[#Headers],[Geen]:[Waarde MIN]]))</f>
        <v>0</v>
      </c>
      <c r="F244" s="88">
        <f>IF(ISBLANK(D244),E244*$E$41,D244*$E$41)</f>
        <v>0</v>
      </c>
      <c r="H244" s="352"/>
      <c r="I244" s="171"/>
      <c r="J244" s="171"/>
      <c r="K244" s="393"/>
      <c r="L244" s="351"/>
      <c r="N244" s="89" t="s">
        <v>63</v>
      </c>
      <c r="O244" s="69" t="s">
        <v>52</v>
      </c>
      <c r="P244" s="93"/>
      <c r="Q244" s="314" cm="1">
        <f t="array" ref="Q244">INDEX(Tabel36[[#All],[Geen]:[Waarde MIN]],_xlfn.XMATCH('SCENARIO 2 - Beste geval'!N244,Tabel36[[#All],[Referentie inkomsten - netto bedrijfsresultaten]]),_xlfn.XMATCH('SCENARIO 2 - Beste geval'!O244,Tabel36[[#Headers],[Geen]:[Waarde MIN]]))</f>
        <v>0</v>
      </c>
      <c r="R244" s="88">
        <f t="shared" si="5"/>
        <v>0</v>
      </c>
    </row>
    <row r="245" spans="2:36" ht="17" thickTop="1" x14ac:dyDescent="0.2">
      <c r="B245" s="79"/>
      <c r="C245" s="171"/>
      <c r="D245" s="171"/>
      <c r="E245" s="56"/>
      <c r="F245" s="80"/>
      <c r="H245" s="354"/>
      <c r="I245" s="355"/>
      <c r="J245" s="355"/>
      <c r="K245" s="355"/>
      <c r="L245" s="356"/>
      <c r="N245" s="81"/>
      <c r="O245" s="172"/>
      <c r="P245" s="172"/>
      <c r="Q245" s="172"/>
      <c r="R245" s="82"/>
    </row>
    <row r="246" spans="2:36" x14ac:dyDescent="0.2">
      <c r="B246" s="109" t="s">
        <v>742</v>
      </c>
      <c r="C246" s="90"/>
      <c r="D246" s="171"/>
      <c r="E246" s="92"/>
      <c r="F246" s="80"/>
      <c r="G246" s="28"/>
      <c r="H246" s="38"/>
      <c r="I246" s="38"/>
      <c r="J246" s="38"/>
      <c r="K246" s="38"/>
      <c r="L246" s="38"/>
    </row>
    <row r="247" spans="2:36" x14ac:dyDescent="0.2">
      <c r="B247" s="125"/>
      <c r="C247" s="90" t="s">
        <v>25</v>
      </c>
      <c r="D247" s="92" t="s">
        <v>26</v>
      </c>
      <c r="E247" s="330" t="s">
        <v>46</v>
      </c>
      <c r="F247" s="394" t="s">
        <v>47</v>
      </c>
      <c r="G247" s="28"/>
      <c r="N247" s="87" t="s">
        <v>764</v>
      </c>
      <c r="O247" s="91"/>
      <c r="P247" s="173"/>
      <c r="Q247" s="126"/>
      <c r="R247" s="85"/>
    </row>
    <row r="248" spans="2:36" ht="17" thickBot="1" x14ac:dyDescent="0.25">
      <c r="B248" s="187" t="s">
        <v>198</v>
      </c>
      <c r="C248" s="67">
        <f>E45</f>
        <v>15</v>
      </c>
      <c r="D248" s="62"/>
      <c r="E248" s="331">
        <f>IF(ISBLANK(D248),C248,D248)</f>
        <v>15</v>
      </c>
      <c r="F248" s="185" t="s">
        <v>36</v>
      </c>
      <c r="G248" s="28"/>
      <c r="N248" s="125"/>
      <c r="O248" s="333" t="s">
        <v>25</v>
      </c>
      <c r="P248" s="334" t="s">
        <v>26</v>
      </c>
      <c r="Q248" s="330" t="s">
        <v>46</v>
      </c>
      <c r="R248" s="394" t="s">
        <v>47</v>
      </c>
    </row>
    <row r="249" spans="2:36" ht="18" thickTop="1" thickBot="1" x14ac:dyDescent="0.25">
      <c r="B249" s="187" t="s">
        <v>199</v>
      </c>
      <c r="C249" s="69" t="s">
        <v>52</v>
      </c>
      <c r="D249" s="62"/>
      <c r="E249" s="332" cm="1">
        <f t="array" ref="E249">IF(ISBLANK(D249),_xlfn.XLOOKUP(C249,Tabel40[[#Headers],[Geen]:[Waarde MIN]],Tabel40[[Geen]:[Waarde MIN]],"Selecteer waarde"),D249)</f>
        <v>60</v>
      </c>
      <c r="F249" s="185" t="s">
        <v>200</v>
      </c>
      <c r="G249" s="28"/>
      <c r="N249" s="189" t="str" cm="1">
        <f t="array" ref="N249">Tabel42[Minimaal inkomen (netto bedrijfsresultaat)]</f>
        <v>Minimaal inkomen</v>
      </c>
      <c r="O249" s="69" t="s">
        <v>52</v>
      </c>
      <c r="P249" s="93"/>
      <c r="Q249" s="314" cm="1">
        <f t="array" ref="Q249">_xlfn.XLOOKUP(O249,Tabel42[[#Headers],[Geen]:[Waarde MIN]],Tabel42[[Geen]:[Waarde MIN]],"Selecteer waarde")</f>
        <v>1407.1556350626117</v>
      </c>
      <c r="R249" s="88">
        <f>IF(ISBLANK(P249),Q249*$E$41,P249*$E$41)</f>
        <v>70357.781753130592</v>
      </c>
    </row>
    <row r="250" spans="2:36" ht="17" thickTop="1" x14ac:dyDescent="0.2">
      <c r="B250" s="207" t="s">
        <v>201</v>
      </c>
      <c r="C250" s="171"/>
      <c r="D250" s="171"/>
      <c r="E250" s="314">
        <f>E248*E249</f>
        <v>900</v>
      </c>
      <c r="F250" s="88">
        <f>E250*E41</f>
        <v>45000</v>
      </c>
      <c r="G250" s="28"/>
      <c r="N250" s="79"/>
      <c r="O250" s="171"/>
      <c r="P250" s="171"/>
      <c r="Q250" s="171"/>
      <c r="R250" s="80"/>
    </row>
    <row r="251" spans="2:36" x14ac:dyDescent="0.2">
      <c r="B251" s="322"/>
      <c r="C251" s="172"/>
      <c r="D251" s="172"/>
      <c r="E251" s="172"/>
      <c r="F251" s="323"/>
      <c r="G251" s="28"/>
      <c r="N251" s="322"/>
      <c r="O251" s="172"/>
      <c r="P251" s="172"/>
      <c r="Q251" s="172"/>
      <c r="R251" s="323"/>
    </row>
    <row r="255" spans="2:36" ht="19" x14ac:dyDescent="0.25">
      <c r="B255" s="283" t="s">
        <v>202</v>
      </c>
      <c r="C255" s="283"/>
      <c r="D255" s="283"/>
      <c r="E255" s="283"/>
      <c r="F255" s="283"/>
      <c r="G255" s="283"/>
      <c r="H255" s="283"/>
      <c r="I255" s="283"/>
      <c r="J255" s="283"/>
      <c r="K255" s="283"/>
      <c r="L255" s="283"/>
      <c r="M255" s="283"/>
      <c r="N255" s="283"/>
      <c r="O255" s="283"/>
      <c r="P255" s="283"/>
      <c r="Q255" s="283"/>
      <c r="R255" s="283"/>
      <c r="S255" s="283"/>
      <c r="T255" s="283"/>
      <c r="U255" s="283"/>
      <c r="V255" s="283"/>
      <c r="W255" s="283"/>
      <c r="X255" s="283"/>
      <c r="Y255" s="283"/>
      <c r="Z255" s="283"/>
      <c r="AA255" s="283"/>
      <c r="AB255" s="283"/>
      <c r="AC255" s="283"/>
      <c r="AD255" s="283"/>
      <c r="AE255" s="283"/>
      <c r="AF255" s="283"/>
      <c r="AG255" s="283"/>
      <c r="AH255" s="283"/>
      <c r="AI255" s="283"/>
      <c r="AJ255" s="283"/>
    </row>
    <row r="257" spans="2:22" ht="17" x14ac:dyDescent="0.2">
      <c r="B257" s="105" t="s">
        <v>203</v>
      </c>
      <c r="C257" s="105"/>
      <c r="D257" s="105"/>
      <c r="E257" s="105"/>
      <c r="F257" s="105"/>
      <c r="G257" s="210"/>
      <c r="H257" s="105" t="s">
        <v>204</v>
      </c>
      <c r="I257" s="105"/>
      <c r="J257" s="105"/>
      <c r="K257" s="105"/>
      <c r="L257" s="105"/>
      <c r="M257" s="210"/>
      <c r="N257" s="105" t="s">
        <v>205</v>
      </c>
      <c r="O257" s="105"/>
      <c r="P257" s="105"/>
      <c r="Q257" s="105"/>
      <c r="R257" s="105"/>
      <c r="S257" s="105"/>
      <c r="T257" s="105"/>
    </row>
    <row r="258" spans="2:22" x14ac:dyDescent="0.2">
      <c r="B258" s="1"/>
      <c r="C258" s="1"/>
      <c r="D258" s="2"/>
      <c r="E258" s="2"/>
      <c r="F258" s="2"/>
    </row>
    <row r="259" spans="2:22" x14ac:dyDescent="0.2">
      <c r="B259" s="1" t="s">
        <v>206</v>
      </c>
      <c r="C259" s="1" t="s">
        <v>207</v>
      </c>
      <c r="D259" s="2" t="s">
        <v>47</v>
      </c>
      <c r="E259" s="2" t="s">
        <v>46</v>
      </c>
      <c r="F259" s="2" t="s">
        <v>208</v>
      </c>
      <c r="H259" s="1" t="s">
        <v>206</v>
      </c>
      <c r="I259" s="1" t="s">
        <v>207</v>
      </c>
      <c r="J259" s="2" t="s">
        <v>47</v>
      </c>
      <c r="K259" s="2" t="s">
        <v>46</v>
      </c>
      <c r="L259" s="2" t="s">
        <v>208</v>
      </c>
      <c r="N259" s="1" t="s">
        <v>206</v>
      </c>
      <c r="O259" s="1" t="s">
        <v>207</v>
      </c>
      <c r="P259" s="2" t="s">
        <v>47</v>
      </c>
      <c r="Q259" s="2" t="s">
        <v>46</v>
      </c>
      <c r="R259" s="2" t="s">
        <v>208</v>
      </c>
      <c r="T259" s="2" t="s">
        <v>753</v>
      </c>
    </row>
    <row r="260" spans="2:22" x14ac:dyDescent="0.2">
      <c r="B260" t="s">
        <v>209</v>
      </c>
      <c r="C260" t="s">
        <v>30</v>
      </c>
      <c r="D260" s="212">
        <f>E41</f>
        <v>50</v>
      </c>
      <c r="N260" t="s">
        <v>210</v>
      </c>
      <c r="O260" s="270" t="s">
        <v>211</v>
      </c>
      <c r="P260" s="294">
        <f>Q260*D260</f>
        <v>70357.781753130592</v>
      </c>
      <c r="Q260" s="212">
        <f>Q249</f>
        <v>1407.1556350626117</v>
      </c>
      <c r="R260" s="212">
        <f>P260/D261</f>
        <v>93.810375670840784</v>
      </c>
      <c r="V260" s="294"/>
    </row>
    <row r="261" spans="2:22" x14ac:dyDescent="0.2">
      <c r="B261" t="s">
        <v>212</v>
      </c>
      <c r="C261" t="s">
        <v>81</v>
      </c>
      <c r="D261" s="212">
        <f>SUM(E111:E112)</f>
        <v>750</v>
      </c>
      <c r="E261">
        <f>D261/D260</f>
        <v>15</v>
      </c>
      <c r="N261" t="s">
        <v>213</v>
      </c>
      <c r="O261" t="s">
        <v>41</v>
      </c>
      <c r="P261" s="294">
        <f>Q261*D260</f>
        <v>750</v>
      </c>
      <c r="Q261" s="294">
        <f>E45</f>
        <v>15</v>
      </c>
      <c r="R261" s="414">
        <f>P261/D261</f>
        <v>1</v>
      </c>
    </row>
    <row r="262" spans="2:22" x14ac:dyDescent="0.2">
      <c r="P262" s="3"/>
      <c r="Q262" s="3"/>
      <c r="R262" s="3"/>
    </row>
    <row r="263" spans="2:22" ht="21" x14ac:dyDescent="0.25">
      <c r="B263" s="291" t="s">
        <v>755</v>
      </c>
      <c r="C263" s="291" t="s">
        <v>211</v>
      </c>
      <c r="D263" s="292">
        <f>SUM(D265,D273,D281,D283)</f>
        <v>770460.53091030219</v>
      </c>
      <c r="E263" s="292">
        <f t="shared" ref="E263:F263" si="7">SUM(E265,E273,E281,E283)</f>
        <v>15409.210618206045</v>
      </c>
      <c r="F263" s="292">
        <f t="shared" si="7"/>
        <v>1027.280707880403</v>
      </c>
      <c r="G263" s="286"/>
      <c r="H263" s="291" t="s">
        <v>214</v>
      </c>
      <c r="I263" s="291"/>
      <c r="J263" s="291"/>
      <c r="K263" s="291"/>
      <c r="L263" s="291"/>
      <c r="N263" s="291" t="s">
        <v>215</v>
      </c>
      <c r="O263" s="291"/>
      <c r="P263" s="291"/>
      <c r="Q263" s="291"/>
      <c r="R263" s="291"/>
      <c r="S263" s="404"/>
      <c r="T263" s="404"/>
    </row>
    <row r="264" spans="2:22" x14ac:dyDescent="0.2">
      <c r="B264" s="148"/>
      <c r="D264" s="211"/>
      <c r="E264" s="211"/>
      <c r="F264" s="211"/>
    </row>
    <row r="265" spans="2:22" x14ac:dyDescent="0.2">
      <c r="B265" s="1" t="s">
        <v>216</v>
      </c>
      <c r="C265" s="1" t="s">
        <v>211</v>
      </c>
      <c r="D265" s="8">
        <f>SUM(D266:D271)</f>
        <v>677960.53091030219</v>
      </c>
      <c r="E265" s="8">
        <f>SUM(E266:E271)</f>
        <v>13559.210618206045</v>
      </c>
      <c r="F265" s="8">
        <f>D265/$D$261</f>
        <v>903.94737454706956</v>
      </c>
      <c r="G265" s="1"/>
      <c r="H265" t="str">
        <f>IF(N240="Geen","-",N240)</f>
        <v>Melkvee op veen</v>
      </c>
      <c r="I265" s="270" t="str">
        <f>IF(H265="-","-","[€/a]")</f>
        <v>[€/a]</v>
      </c>
      <c r="J265" s="3">
        <f>R240</f>
        <v>70357.781753130592</v>
      </c>
      <c r="K265" s="3">
        <f>J265/$D$260</f>
        <v>1407.1556350626117</v>
      </c>
      <c r="L265" s="281" t="str">
        <f>IF(H265="-","-","n.v.t")</f>
        <v>n.v.t</v>
      </c>
      <c r="N265" t="s">
        <v>217</v>
      </c>
      <c r="O265" s="270" t="s">
        <v>211</v>
      </c>
      <c r="P265" s="408">
        <f>Q265*$D$260</f>
        <v>0</v>
      </c>
      <c r="Q265" s="408">
        <f>IF(E311&lt;$Q$260,$Q$260-E311,0)</f>
        <v>0</v>
      </c>
      <c r="R265" s="408">
        <f>P265/$D$261</f>
        <v>0</v>
      </c>
      <c r="S265" s="408"/>
      <c r="T265" s="409">
        <f>Q265/$Q$261</f>
        <v>0</v>
      </c>
    </row>
    <row r="266" spans="2:22" x14ac:dyDescent="0.2">
      <c r="B266" t="str">
        <f>B170</f>
        <v>Bouw - Inblaasisolatie</v>
      </c>
      <c r="C266" s="270" t="s">
        <v>211</v>
      </c>
      <c r="D266" s="3">
        <f>F170</f>
        <v>295496.83333333331</v>
      </c>
      <c r="E266" s="3">
        <f>D266/$D$260</f>
        <v>5909.9366666666665</v>
      </c>
      <c r="F266" s="288">
        <f>I178</f>
        <v>1489.9</v>
      </c>
      <c r="H266" s="52" t="str">
        <f>IF(H265="-","-","Verschil lisdodde")</f>
        <v>Verschil lisdodde</v>
      </c>
      <c r="I266" s="52" t="str">
        <f>IF(H265="-","-","[€/a]")</f>
        <v>[€/a]</v>
      </c>
      <c r="J266" s="136">
        <f>IF(H265="-",0,$D$308-J265)</f>
        <v>478649.77276169299</v>
      </c>
      <c r="K266" s="136">
        <f>IF(H265="-",0,$E$308-K265)</f>
        <v>9572.9954552338604</v>
      </c>
      <c r="L266" s="280"/>
      <c r="N266" s="52" t="s">
        <v>751</v>
      </c>
      <c r="P266" s="408"/>
      <c r="Q266" s="408"/>
      <c r="R266" s="408"/>
      <c r="S266" s="408"/>
      <c r="T266" s="409"/>
    </row>
    <row r="267" spans="2:22" x14ac:dyDescent="0.2">
      <c r="B267" t="str">
        <f>B171</f>
        <v>Bouw - Beton - Droge mortel - Versterker</v>
      </c>
      <c r="C267" s="270" t="s">
        <v>211</v>
      </c>
      <c r="D267" s="3">
        <f>F171</f>
        <v>65918.835034013624</v>
      </c>
      <c r="E267" s="3">
        <f>D267/$D$260</f>
        <v>1318.3767006802725</v>
      </c>
      <c r="F267" s="288">
        <f>O178</f>
        <v>1722.6788888888889</v>
      </c>
      <c r="I267" s="270"/>
      <c r="J267" s="3"/>
      <c r="L267" s="281"/>
      <c r="P267" s="408"/>
      <c r="Q267" s="408"/>
      <c r="R267" s="408"/>
      <c r="S267" s="408"/>
      <c r="T267" s="409"/>
    </row>
    <row r="268" spans="2:22" x14ac:dyDescent="0.2">
      <c r="B268" t="str">
        <f>B172</f>
        <v>Bouw - Isolatieplaat (Typha Board)</v>
      </c>
      <c r="C268" s="270" t="s">
        <v>211</v>
      </c>
      <c r="D268" s="3">
        <f>F172</f>
        <v>176002.44444444444</v>
      </c>
      <c r="E268" s="3">
        <f>D268/$D$260</f>
        <v>3520.0488888888885</v>
      </c>
      <c r="F268" s="288">
        <f>U178</f>
        <v>889.9</v>
      </c>
      <c r="H268" t="str">
        <f>IF(N241="Geen","-",N241)</f>
        <v>Verhuur / verpachten</v>
      </c>
      <c r="I268" s="270" t="str">
        <f>IF(H268="-","-","[€/a]")</f>
        <v>[€/a]</v>
      </c>
      <c r="J268" s="3">
        <f>R241</f>
        <v>108000</v>
      </c>
      <c r="K268" s="3">
        <f t="shared" ref="K268:K277" si="8">J268/$D$260</f>
        <v>2160</v>
      </c>
      <c r="L268" s="281" t="str">
        <f>IF(H268="-","-","n.v.t")</f>
        <v>n.v.t</v>
      </c>
      <c r="N268" t="s">
        <v>218</v>
      </c>
      <c r="O268" s="270" t="s">
        <v>211</v>
      </c>
      <c r="P268" s="408">
        <f>Q268*$D$260</f>
        <v>0</v>
      </c>
      <c r="Q268" s="408">
        <f>IF(E314&lt;$Q$260,$Q$260-E314,0)</f>
        <v>0</v>
      </c>
      <c r="R268" s="408">
        <f>P268/$D$261</f>
        <v>0</v>
      </c>
      <c r="S268" s="408"/>
      <c r="T268" s="409">
        <f>Q268/$Q$261</f>
        <v>0</v>
      </c>
    </row>
    <row r="269" spans="2:22" x14ac:dyDescent="0.2">
      <c r="B269" t="str">
        <f>B173</f>
        <v xml:space="preserve">Plastics - Spuitgieten - Vuller </v>
      </c>
      <c r="C269" s="270" t="s">
        <v>211</v>
      </c>
      <c r="D269" s="3">
        <f>F173</f>
        <v>84195.529209621993</v>
      </c>
      <c r="E269" s="3">
        <f>D269/$D$260</f>
        <v>1683.91058419244</v>
      </c>
      <c r="F269" s="288">
        <f>AA178</f>
        <v>458.81833333333333</v>
      </c>
      <c r="H269" s="52" t="str">
        <f>IF(H268="-","-","Verschil lisdodde")</f>
        <v>Verschil lisdodde</v>
      </c>
      <c r="I269" s="52" t="str">
        <f>IF(H268="-","-","[€/a]")</f>
        <v>[€/a]</v>
      </c>
      <c r="J269" s="136">
        <f>IF(H268="-",0,$D$308-J268)</f>
        <v>441007.5545148236</v>
      </c>
      <c r="K269" s="136">
        <f>IF(H268="-",0,$E$308-K268)</f>
        <v>8820.1510902964728</v>
      </c>
      <c r="L269" s="280"/>
      <c r="N269" s="52" t="s">
        <v>743</v>
      </c>
      <c r="P269" s="408"/>
      <c r="Q269" s="408"/>
      <c r="R269" s="408"/>
      <c r="S269" s="408"/>
      <c r="T269" s="409"/>
    </row>
    <row r="270" spans="2:22" x14ac:dyDescent="0.2">
      <c r="B270" t="str">
        <f>B174</f>
        <v>Papier - Massief karton - Vuller</v>
      </c>
      <c r="C270" s="270" t="s">
        <v>211</v>
      </c>
      <c r="D270" s="3">
        <f>F174</f>
        <v>56346.888888888883</v>
      </c>
      <c r="E270" s="3">
        <f>D270/$D$260</f>
        <v>1126.9377777777777</v>
      </c>
      <c r="F270" s="288">
        <f>AG178</f>
        <v>284.89999999999998</v>
      </c>
      <c r="I270" s="270"/>
      <c r="J270" s="3"/>
      <c r="L270" s="281"/>
      <c r="P270" s="408"/>
      <c r="Q270" s="408"/>
      <c r="R270" s="408"/>
      <c r="S270" s="408"/>
      <c r="T270" s="409"/>
    </row>
    <row r="271" spans="2:22" x14ac:dyDescent="0.2">
      <c r="B271" s="52" t="s">
        <v>219</v>
      </c>
      <c r="C271" s="270" t="s">
        <v>211</v>
      </c>
      <c r="D271" s="209"/>
      <c r="E271" s="209"/>
      <c r="F271" s="209"/>
      <c r="H271" t="str">
        <f>IF(N242="Geen","-",N242)</f>
        <v>Zonnepanelen</v>
      </c>
      <c r="I271" s="270" t="str">
        <f>IF(H271="-","-","[€/a]")</f>
        <v>[€/a]</v>
      </c>
      <c r="J271" s="3">
        <f>R242</f>
        <v>191800</v>
      </c>
      <c r="K271" s="3">
        <f t="shared" si="8"/>
        <v>3836</v>
      </c>
      <c r="L271" s="281" t="str">
        <f>IF(H271="-","-","n.v.t")</f>
        <v>n.v.t</v>
      </c>
      <c r="N271" t="s">
        <v>220</v>
      </c>
      <c r="O271" s="270" t="s">
        <v>211</v>
      </c>
      <c r="P271" s="408">
        <f>Q271*$D$260</f>
        <v>0</v>
      </c>
      <c r="Q271" s="408">
        <f>IF(E317&lt;$Q$260,$Q$260-E317,0)</f>
        <v>0</v>
      </c>
      <c r="R271" s="408">
        <f>P271/$D$261</f>
        <v>0</v>
      </c>
      <c r="S271" s="408"/>
      <c r="T271" s="409">
        <f>Q271/$Q$261</f>
        <v>0</v>
      </c>
    </row>
    <row r="272" spans="2:22" x14ac:dyDescent="0.2">
      <c r="C272" s="270"/>
      <c r="D272" s="3"/>
      <c r="E272" s="3"/>
      <c r="F272" s="3"/>
      <c r="H272" s="52" t="str">
        <f>IF(H271="-","-","Verschil lisdodde")</f>
        <v>Verschil lisdodde</v>
      </c>
      <c r="I272" s="52" t="str">
        <f>IF(H271="-","-","[€/a]")</f>
        <v>[€/a]</v>
      </c>
      <c r="J272" s="136">
        <f>IF(H271="-",0,$D$308-J271)</f>
        <v>357207.5545148236</v>
      </c>
      <c r="K272" s="136">
        <f>IF(H271="-",0,$E$308-K271)</f>
        <v>7144.1510902964728</v>
      </c>
      <c r="L272" s="280"/>
      <c r="N272" s="52" t="s">
        <v>744</v>
      </c>
      <c r="P272" s="408"/>
      <c r="Q272" s="408"/>
      <c r="R272" s="408"/>
      <c r="S272" s="408"/>
      <c r="T272" s="409"/>
    </row>
    <row r="273" spans="2:20" x14ac:dyDescent="0.2">
      <c r="B273" s="1" t="str">
        <f>B238</f>
        <v xml:space="preserve">Overige inkomsten </v>
      </c>
      <c r="C273" s="1" t="s">
        <v>211</v>
      </c>
      <c r="D273" s="8">
        <f>SUM(D274:D279)</f>
        <v>25000</v>
      </c>
      <c r="E273" s="8">
        <f>SUM(E274:E279)</f>
        <v>500</v>
      </c>
      <c r="F273" s="8">
        <f>SUM(F274:F279)</f>
        <v>33.333333333333336</v>
      </c>
      <c r="G273" s="1"/>
      <c r="I273" s="270"/>
      <c r="J273" s="3"/>
      <c r="L273" s="281"/>
      <c r="P273" s="408"/>
      <c r="Q273" s="408"/>
      <c r="R273" s="408"/>
      <c r="S273" s="408"/>
      <c r="T273" s="409"/>
    </row>
    <row r="274" spans="2:20" x14ac:dyDescent="0.2">
      <c r="B274" t="str">
        <f>IF(B240="Geen","-",B240)</f>
        <v>Natuurbeheerpakket</v>
      </c>
      <c r="C274" s="270" t="s">
        <v>211</v>
      </c>
      <c r="D274" s="3">
        <f>F240</f>
        <v>20000</v>
      </c>
      <c r="E274" s="3">
        <f>D274/$D$260</f>
        <v>400</v>
      </c>
      <c r="F274" s="3">
        <f>D274/$D$261</f>
        <v>26.666666666666668</v>
      </c>
      <c r="H274" t="str">
        <f>IF(N243="Geen","-",N243)</f>
        <v>-</v>
      </c>
      <c r="I274" s="270" t="str">
        <f>IF(H274="-","-","[€/a]")</f>
        <v>-</v>
      </c>
      <c r="J274" s="3">
        <f>R243</f>
        <v>0</v>
      </c>
      <c r="K274" s="3">
        <f t="shared" si="8"/>
        <v>0</v>
      </c>
      <c r="L274" s="281" t="str">
        <f>IF(H274="-","-","n.v.t")</f>
        <v>-</v>
      </c>
      <c r="N274" s="270" t="s">
        <v>752</v>
      </c>
      <c r="O274" s="270" t="s">
        <v>211</v>
      </c>
      <c r="P274" s="408">
        <f>Q274*$D$260</f>
        <v>0</v>
      </c>
      <c r="Q274" s="408">
        <f>IF(E320&lt;$Q$260,$Q$260-E320,0)</f>
        <v>0</v>
      </c>
      <c r="R274" s="408">
        <f>P274/$D$261</f>
        <v>0</v>
      </c>
      <c r="S274" s="408"/>
      <c r="T274" s="409">
        <f>Q274/$Q$261</f>
        <v>0</v>
      </c>
    </row>
    <row r="275" spans="2:20" x14ac:dyDescent="0.2">
      <c r="B275" t="str">
        <f t="shared" ref="B275:B278" si="9">IF(B241="Geen","-",B241)</f>
        <v>Waterbuffering</v>
      </c>
      <c r="C275" s="270" t="s">
        <v>211</v>
      </c>
      <c r="D275" s="3">
        <f>F241</f>
        <v>5000</v>
      </c>
      <c r="E275" s="3">
        <f t="shared" ref="E275:E278" si="10">D275/$D$260</f>
        <v>100</v>
      </c>
      <c r="F275" s="3">
        <f>D275/$D$261</f>
        <v>6.666666666666667</v>
      </c>
      <c r="H275" s="52" t="str">
        <f>IF(H274="-","-","Verschil lisdodde")</f>
        <v>-</v>
      </c>
      <c r="I275" s="52" t="str">
        <f>IF(H274="-","-","[€/a]")</f>
        <v>-</v>
      </c>
      <c r="J275" s="136">
        <f>IF(H274="-",0,$D$308-J274)</f>
        <v>0</v>
      </c>
      <c r="K275" s="136">
        <f>IF(H274="-",0,$E$308-K274)</f>
        <v>0</v>
      </c>
      <c r="L275" s="280"/>
      <c r="N275" s="52" t="s">
        <v>221</v>
      </c>
      <c r="P275" s="408"/>
      <c r="Q275" s="408"/>
      <c r="R275" s="408"/>
      <c r="S275" s="408"/>
      <c r="T275" s="409"/>
    </row>
    <row r="276" spans="2:20" x14ac:dyDescent="0.2">
      <c r="B276" t="str">
        <f t="shared" si="9"/>
        <v>Overige ecosysteemdiensten</v>
      </c>
      <c r="C276" s="270" t="s">
        <v>211</v>
      </c>
      <c r="D276" s="3">
        <f>F242</f>
        <v>0</v>
      </c>
      <c r="E276" s="3">
        <f t="shared" si="10"/>
        <v>0</v>
      </c>
      <c r="F276" s="3">
        <f>D276/$D$261</f>
        <v>0</v>
      </c>
      <c r="I276" s="270"/>
      <c r="J276" s="3"/>
      <c r="L276" s="281"/>
      <c r="P276" s="408"/>
      <c r="Q276" s="408"/>
      <c r="R276" s="408"/>
      <c r="S276" s="408"/>
      <c r="T276" s="409"/>
    </row>
    <row r="277" spans="2:20" x14ac:dyDescent="0.2">
      <c r="B277" t="str">
        <f t="shared" si="9"/>
        <v>-</v>
      </c>
      <c r="C277" s="270" t="s">
        <v>211</v>
      </c>
      <c r="D277" s="3">
        <f>F243</f>
        <v>0</v>
      </c>
      <c r="E277" s="3">
        <f t="shared" si="10"/>
        <v>0</v>
      </c>
      <c r="F277" s="3">
        <f>D277/$D$261</f>
        <v>0</v>
      </c>
      <c r="H277" t="str">
        <f>IF(N244="Geen","-",N244)</f>
        <v>-</v>
      </c>
      <c r="I277" s="270" t="str">
        <f>IF(H277="-","-","[€/a]")</f>
        <v>-</v>
      </c>
      <c r="J277" s="3">
        <f>R244</f>
        <v>0</v>
      </c>
      <c r="K277" s="3">
        <f t="shared" si="8"/>
        <v>0</v>
      </c>
      <c r="L277" s="281" t="str">
        <f>IF(H277="-","-","n.v.t")</f>
        <v>-</v>
      </c>
      <c r="N277" s="38" t="s">
        <v>763</v>
      </c>
      <c r="O277" s="270" t="s">
        <v>211</v>
      </c>
      <c r="P277" s="408">
        <f>Q277*$D$260</f>
        <v>0</v>
      </c>
      <c r="Q277" s="408">
        <f>IF(E308&lt;$Q$260,$Q$260-E308,0)</f>
        <v>0</v>
      </c>
      <c r="R277" s="408">
        <f>P277/$D$261</f>
        <v>0</v>
      </c>
      <c r="S277" s="408"/>
      <c r="T277" s="409">
        <f>Q277/$Q$261</f>
        <v>0</v>
      </c>
    </row>
    <row r="278" spans="2:20" x14ac:dyDescent="0.2">
      <c r="B278" t="str">
        <f t="shared" si="9"/>
        <v>-</v>
      </c>
      <c r="C278" s="270" t="s">
        <v>211</v>
      </c>
      <c r="D278" s="3">
        <f>F244</f>
        <v>0</v>
      </c>
      <c r="E278" s="3">
        <f t="shared" si="10"/>
        <v>0</v>
      </c>
      <c r="F278" s="3">
        <f>D278/$D$261</f>
        <v>0</v>
      </c>
      <c r="H278" s="52" t="str">
        <f>IF(H277="-","-","Verschil lisdodde")</f>
        <v>-</v>
      </c>
      <c r="I278" s="52" t="str">
        <f>IF(H277="-","-","[€/a]")</f>
        <v>-</v>
      </c>
      <c r="J278" s="136">
        <f>IF(H277="-",0,$D$308-J277)</f>
        <v>0</v>
      </c>
      <c r="K278" s="136">
        <f>IF(H277="-",0,$E$308-K277)</f>
        <v>0</v>
      </c>
      <c r="L278" s="280"/>
    </row>
    <row r="279" spans="2:20" x14ac:dyDescent="0.2">
      <c r="B279" s="52" t="s">
        <v>223</v>
      </c>
      <c r="C279" s="270" t="s">
        <v>211</v>
      </c>
      <c r="D279" s="94"/>
      <c r="E279" s="209"/>
      <c r="F279" s="209"/>
      <c r="H279" s="52"/>
    </row>
    <row r="280" spans="2:20" x14ac:dyDescent="0.2">
      <c r="C280" s="270"/>
      <c r="D280" s="2"/>
      <c r="E280" s="2"/>
      <c r="F280" s="2"/>
      <c r="H280" s="52" t="s">
        <v>708</v>
      </c>
      <c r="N280" s="295"/>
      <c r="O280" s="295"/>
      <c r="P280" s="295"/>
      <c r="Q280" s="295"/>
      <c r="R280" s="295"/>
    </row>
    <row r="281" spans="2:20" x14ac:dyDescent="0.2">
      <c r="B281" s="1" t="str">
        <f>B246</f>
        <v>Inkomsten CO2-certificaten</v>
      </c>
      <c r="C281" s="1" t="s">
        <v>211</v>
      </c>
      <c r="D281" s="402">
        <f>F250</f>
        <v>45000</v>
      </c>
      <c r="E281" s="8">
        <f>D281/$D$260</f>
        <v>900</v>
      </c>
      <c r="F281" s="8">
        <f>D281/$D$261</f>
        <v>60</v>
      </c>
      <c r="H281" s="52" t="s">
        <v>709</v>
      </c>
    </row>
    <row r="282" spans="2:20" ht="21" x14ac:dyDescent="0.25">
      <c r="C282" s="270"/>
      <c r="D282" s="2"/>
      <c r="E282" s="2"/>
      <c r="F282" s="2"/>
      <c r="G282" s="287"/>
      <c r="H282" s="396" t="s">
        <v>710</v>
      </c>
    </row>
    <row r="283" spans="2:20" x14ac:dyDescent="0.2">
      <c r="B283" s="1" t="str">
        <f>H238</f>
        <v>Inkomsten GLB subsidies</v>
      </c>
      <c r="C283" s="1" t="s">
        <v>211</v>
      </c>
      <c r="D283" s="402">
        <f>SUM(D284:D287)</f>
        <v>22500</v>
      </c>
      <c r="E283" s="402">
        <f t="shared" ref="E283:F283" si="11">SUM(E284:E287)</f>
        <v>450</v>
      </c>
      <c r="F283" s="402">
        <f t="shared" si="11"/>
        <v>30</v>
      </c>
    </row>
    <row r="284" spans="2:20" x14ac:dyDescent="0.2">
      <c r="B284" t="str">
        <f>H240</f>
        <v>GLB - basisbetaling</v>
      </c>
      <c r="C284" s="270" t="s">
        <v>211</v>
      </c>
      <c r="D284" s="403">
        <f>L240</f>
        <v>13750</v>
      </c>
      <c r="E284" s="3">
        <f>D284/$D$260</f>
        <v>275</v>
      </c>
      <c r="F284" s="272">
        <f>D284/$D$261</f>
        <v>18.333333333333332</v>
      </c>
      <c r="G284" s="1"/>
      <c r="H284" s="28"/>
    </row>
    <row r="285" spans="2:20" x14ac:dyDescent="0.2">
      <c r="B285" t="str">
        <f t="shared" ref="B285:B287" si="12">H241</f>
        <v>GLB - vergroeningsbetaling</v>
      </c>
      <c r="C285" s="270" t="s">
        <v>211</v>
      </c>
      <c r="D285" s="403">
        <f t="shared" ref="D285:D287" si="13">L241</f>
        <v>8750</v>
      </c>
      <c r="E285" s="3">
        <f t="shared" ref="E285:E287" si="14">D285/$D$260</f>
        <v>175</v>
      </c>
      <c r="F285" s="272">
        <f t="shared" ref="F285:F287" si="15">D285/$D$261</f>
        <v>11.666666666666666</v>
      </c>
    </row>
    <row r="286" spans="2:20" x14ac:dyDescent="0.2">
      <c r="B286" t="str">
        <f t="shared" si="12"/>
        <v>Concept GLB - peil -30 tot 0</v>
      </c>
      <c r="C286" s="270" t="s">
        <v>211</v>
      </c>
      <c r="D286" s="403">
        <f t="shared" si="13"/>
        <v>0</v>
      </c>
      <c r="E286" s="3">
        <f t="shared" si="14"/>
        <v>0</v>
      </c>
      <c r="F286" s="272">
        <f t="shared" si="15"/>
        <v>0</v>
      </c>
    </row>
    <row r="287" spans="2:20" x14ac:dyDescent="0.2">
      <c r="B287" t="str">
        <f t="shared" si="12"/>
        <v>Concept GLB - peil -30 tot -21</v>
      </c>
      <c r="C287" s="270" t="s">
        <v>211</v>
      </c>
      <c r="D287" s="403">
        <f t="shared" si="13"/>
        <v>0</v>
      </c>
      <c r="E287" s="3">
        <f t="shared" si="14"/>
        <v>0</v>
      </c>
      <c r="F287" s="272">
        <f t="shared" si="15"/>
        <v>0</v>
      </c>
    </row>
    <row r="288" spans="2:20" x14ac:dyDescent="0.2">
      <c r="C288" s="270"/>
      <c r="D288" s="403"/>
      <c r="E288" s="3"/>
      <c r="F288" s="272"/>
    </row>
    <row r="289" spans="2:18" x14ac:dyDescent="0.2">
      <c r="C289" s="270"/>
      <c r="D289" s="2"/>
      <c r="E289" s="2"/>
      <c r="F289" s="2"/>
    </row>
    <row r="290" spans="2:18" ht="19" x14ac:dyDescent="0.25">
      <c r="B290" s="291" t="s">
        <v>224</v>
      </c>
      <c r="C290" s="291" t="s">
        <v>211</v>
      </c>
      <c r="D290" s="292">
        <f>SUM(D305,D292,D300)</f>
        <v>221452.97639547859</v>
      </c>
      <c r="E290" s="292">
        <f>SUM(E305,E292,E300)</f>
        <v>4429.0595279095714</v>
      </c>
      <c r="F290" s="292">
        <f>SUM(F305,F292,F300)</f>
        <v>295.27063519397143</v>
      </c>
    </row>
    <row r="291" spans="2:18" x14ac:dyDescent="0.2">
      <c r="C291" s="270"/>
      <c r="D291" s="211"/>
      <c r="E291" s="211"/>
      <c r="F291" s="211"/>
    </row>
    <row r="292" spans="2:18" x14ac:dyDescent="0.2">
      <c r="B292" s="1" t="s">
        <v>3</v>
      </c>
      <c r="C292" s="1" t="s">
        <v>211</v>
      </c>
      <c r="D292" s="7">
        <f>SUM(D293:D298)</f>
        <v>87714.137109764226</v>
      </c>
      <c r="E292" s="7">
        <f>SUM(E293:E298)</f>
        <v>1754.2827421952843</v>
      </c>
      <c r="F292" s="7">
        <f>SUM(F293:F298)</f>
        <v>116.95218281301896</v>
      </c>
      <c r="G292" s="1"/>
      <c r="H292" s="1"/>
    </row>
    <row r="293" spans="2:18" x14ac:dyDescent="0.2">
      <c r="B293" t="str">
        <f t="shared" ref="B293:B298" si="16">B60</f>
        <v>Jaarlijks grondgebruik</v>
      </c>
      <c r="C293" s="270" t="s">
        <v>211</v>
      </c>
      <c r="D293" s="3">
        <f t="shared" ref="D293:D298" si="17">E60</f>
        <v>35700</v>
      </c>
      <c r="E293" s="3">
        <f>D293/$D$260</f>
        <v>714</v>
      </c>
      <c r="F293" s="3">
        <f t="shared" ref="F293:F298" si="18">D293/$D$261</f>
        <v>47.6</v>
      </c>
    </row>
    <row r="294" spans="2:18" x14ac:dyDescent="0.2">
      <c r="B294" t="str">
        <f t="shared" si="16"/>
        <v>Gewasverzorging</v>
      </c>
      <c r="C294" s="270" t="s">
        <v>211</v>
      </c>
      <c r="D294" s="3">
        <f t="shared" si="17"/>
        <v>11000</v>
      </c>
      <c r="E294" s="3">
        <f t="shared" ref="E294:E298" si="19">D294/$D$260</f>
        <v>220</v>
      </c>
      <c r="F294" s="3">
        <f t="shared" si="18"/>
        <v>14.666666666666666</v>
      </c>
    </row>
    <row r="295" spans="2:18" x14ac:dyDescent="0.2">
      <c r="B295" t="str">
        <f t="shared" si="16"/>
        <v>Energieverbruik en water</v>
      </c>
      <c r="C295" s="270" t="s">
        <v>211</v>
      </c>
      <c r="D295" s="3">
        <f t="shared" si="17"/>
        <v>1500</v>
      </c>
      <c r="E295" s="3">
        <f t="shared" si="19"/>
        <v>30</v>
      </c>
      <c r="F295" s="3">
        <f t="shared" si="18"/>
        <v>2</v>
      </c>
    </row>
    <row r="296" spans="2:18" x14ac:dyDescent="0.2">
      <c r="B296" t="str">
        <f t="shared" si="16"/>
        <v>Belastingen en verzekeringen</v>
      </c>
      <c r="C296" s="270" t="s">
        <v>211</v>
      </c>
      <c r="D296" s="3">
        <f t="shared" si="17"/>
        <v>1390.5</v>
      </c>
      <c r="E296" s="3">
        <f t="shared" si="19"/>
        <v>27.81</v>
      </c>
      <c r="F296" s="3">
        <f t="shared" si="18"/>
        <v>1.8540000000000001</v>
      </c>
    </row>
    <row r="297" spans="2:18" x14ac:dyDescent="0.2">
      <c r="B297" t="str">
        <f t="shared" si="16"/>
        <v>Onderhoud</v>
      </c>
      <c r="C297" s="270" t="s">
        <v>211</v>
      </c>
      <c r="D297" s="3">
        <f t="shared" si="17"/>
        <v>5393.75</v>
      </c>
      <c r="E297" s="3">
        <f t="shared" si="19"/>
        <v>107.875</v>
      </c>
      <c r="F297" s="3">
        <f t="shared" si="18"/>
        <v>7.1916666666666664</v>
      </c>
      <c r="H297" s="52"/>
    </row>
    <row r="298" spans="2:18" x14ac:dyDescent="0.2">
      <c r="B298" t="str">
        <f t="shared" si="16"/>
        <v>Afschrijving &amp; aflossing teeltinvesteringen</v>
      </c>
      <c r="C298" s="270" t="s">
        <v>211</v>
      </c>
      <c r="D298" s="3">
        <f t="shared" si="17"/>
        <v>32729.887109764222</v>
      </c>
      <c r="E298" s="3">
        <f t="shared" si="19"/>
        <v>654.59774219528447</v>
      </c>
      <c r="F298" s="3">
        <f t="shared" si="18"/>
        <v>43.63984947968563</v>
      </c>
    </row>
    <row r="299" spans="2:18" x14ac:dyDescent="0.2">
      <c r="C299" s="270"/>
      <c r="D299" s="3"/>
      <c r="E299" s="3"/>
      <c r="F299" s="3"/>
    </row>
    <row r="300" spans="2:18" s="28" customFormat="1" ht="19" x14ac:dyDescent="0.25">
      <c r="B300" s="1" t="s">
        <v>94</v>
      </c>
      <c r="C300" s="1" t="s">
        <v>211</v>
      </c>
      <c r="D300" s="8">
        <f>SUM(D301:D303)</f>
        <v>133738.83928571435</v>
      </c>
      <c r="E300" s="8">
        <f>SUM(E301:E303)</f>
        <v>2674.7767857142871</v>
      </c>
      <c r="F300" s="8">
        <f>SUM(F301:F303)</f>
        <v>178.31845238095246</v>
      </c>
      <c r="G300" s="285"/>
      <c r="H300" s="285"/>
      <c r="K300" s="175"/>
      <c r="N300"/>
      <c r="O300"/>
      <c r="P300"/>
      <c r="Q300"/>
      <c r="R300"/>
    </row>
    <row r="301" spans="2:18" x14ac:dyDescent="0.2">
      <c r="B301" t="s">
        <v>4</v>
      </c>
      <c r="C301" s="270" t="s">
        <v>211</v>
      </c>
      <c r="D301" s="3">
        <f>SUM(E115,E117)</f>
        <v>53000</v>
      </c>
      <c r="E301" s="3">
        <f>D301/$D$260</f>
        <v>1060</v>
      </c>
      <c r="F301" s="3">
        <f>D301/$D$261</f>
        <v>70.666666666666671</v>
      </c>
    </row>
    <row r="302" spans="2:18" x14ac:dyDescent="0.2">
      <c r="B302" t="s">
        <v>5</v>
      </c>
      <c r="C302" s="270" t="s">
        <v>211</v>
      </c>
      <c r="D302" s="3">
        <f>SUM(E116,E118)</f>
        <v>4453.125</v>
      </c>
      <c r="E302" s="3">
        <f t="shared" ref="E302:E303" si="20">D302/$D$260</f>
        <v>89.0625</v>
      </c>
      <c r="F302" s="3">
        <f>D302/$D$261</f>
        <v>5.9375</v>
      </c>
    </row>
    <row r="303" spans="2:18" x14ac:dyDescent="0.2">
      <c r="B303" t="str">
        <f>B119</f>
        <v>Voordroogkosten</v>
      </c>
      <c r="C303" s="270" t="s">
        <v>211</v>
      </c>
      <c r="D303" s="3">
        <f>E119</f>
        <v>76285.714285714348</v>
      </c>
      <c r="E303" s="3">
        <f t="shared" si="20"/>
        <v>1525.7142857142869</v>
      </c>
      <c r="F303" s="3">
        <f>D303/$D$261</f>
        <v>101.71428571428579</v>
      </c>
      <c r="N303" s="28"/>
      <c r="O303" s="28"/>
      <c r="P303" s="28"/>
      <c r="Q303" s="28"/>
      <c r="R303" s="28"/>
    </row>
    <row r="304" spans="2:18" x14ac:dyDescent="0.2">
      <c r="C304" s="270"/>
      <c r="D304" s="3"/>
      <c r="E304" s="3"/>
      <c r="F304" s="3"/>
    </row>
    <row r="305" spans="2:8" x14ac:dyDescent="0.2">
      <c r="B305" s="52" t="s">
        <v>225</v>
      </c>
      <c r="C305" s="270" t="s">
        <v>211</v>
      </c>
      <c r="D305" s="93"/>
      <c r="E305" s="93"/>
      <c r="F305" s="93"/>
    </row>
    <row r="306" spans="2:8" x14ac:dyDescent="0.2">
      <c r="B306" s="284"/>
      <c r="C306" s="270"/>
      <c r="H306" s="293"/>
    </row>
    <row r="307" spans="2:8" x14ac:dyDescent="0.2">
      <c r="B307" s="284"/>
      <c r="C307" s="270"/>
      <c r="H307" s="28"/>
    </row>
    <row r="308" spans="2:8" ht="19" x14ac:dyDescent="0.25">
      <c r="B308" s="291" t="s">
        <v>226</v>
      </c>
      <c r="C308" s="291" t="s">
        <v>211</v>
      </c>
      <c r="D308" s="292">
        <f>D263-D290</f>
        <v>549007.5545148236</v>
      </c>
      <c r="E308" s="292">
        <f>E263-E290</f>
        <v>10980.151090296473</v>
      </c>
      <c r="F308" s="292">
        <f>F263-F290</f>
        <v>732.01007268643161</v>
      </c>
      <c r="H308" s="28"/>
    </row>
    <row r="309" spans="2:8" ht="19" x14ac:dyDescent="0.25">
      <c r="B309" s="410"/>
      <c r="C309" s="410"/>
      <c r="D309" s="411">
        <f>D308/D263</f>
        <v>0.71257064118024183</v>
      </c>
      <c r="E309" s="411">
        <f t="shared" ref="E309:F309" si="21">E308/E263</f>
        <v>0.71257064118024183</v>
      </c>
      <c r="F309" s="412">
        <f t="shared" si="21"/>
        <v>0.71257064118024194</v>
      </c>
      <c r="H309" s="28"/>
    </row>
    <row r="310" spans="2:8" x14ac:dyDescent="0.2">
      <c r="C310" s="270"/>
      <c r="D310" s="3"/>
      <c r="E310" s="3"/>
      <c r="F310" s="3"/>
      <c r="H310" s="28"/>
    </row>
    <row r="311" spans="2:8" x14ac:dyDescent="0.2">
      <c r="B311" s="1" t="s">
        <v>227</v>
      </c>
      <c r="C311" s="1" t="s">
        <v>211</v>
      </c>
      <c r="D311" s="8">
        <f>D265-D290</f>
        <v>456507.5545148236</v>
      </c>
      <c r="E311" s="8">
        <f>E265-E290</f>
        <v>9130.1510902964728</v>
      </c>
      <c r="F311" s="8">
        <f>F265-F290</f>
        <v>608.67673935309813</v>
      </c>
      <c r="H311" s="28"/>
    </row>
    <row r="312" spans="2:8" x14ac:dyDescent="0.2">
      <c r="B312" s="52" t="s">
        <v>751</v>
      </c>
      <c r="C312" s="270"/>
      <c r="D312" s="413">
        <f>D311/D265</f>
        <v>0.67335417579821033</v>
      </c>
      <c r="E312" s="413">
        <f t="shared" ref="E312:F312" si="22">E311/E265</f>
        <v>0.67335417579821033</v>
      </c>
      <c r="F312" s="413">
        <f t="shared" si="22"/>
        <v>0.67335417579821033</v>
      </c>
      <c r="H312" s="28"/>
    </row>
    <row r="313" spans="2:8" x14ac:dyDescent="0.2">
      <c r="C313" s="270"/>
      <c r="D313" s="3"/>
      <c r="E313" s="3"/>
      <c r="F313" s="3"/>
      <c r="H313" s="28"/>
    </row>
    <row r="314" spans="2:8" x14ac:dyDescent="0.2">
      <c r="B314" s="1" t="s">
        <v>228</v>
      </c>
      <c r="C314" s="1" t="s">
        <v>211</v>
      </c>
      <c r="D314" s="7">
        <f>D265+D284+D285-D290</f>
        <v>479007.5545148236</v>
      </c>
      <c r="E314" s="7">
        <f>E265+E284+E285-E290</f>
        <v>9580.1510902964728</v>
      </c>
      <c r="F314" s="7">
        <f>F265+F284+F285-F290</f>
        <v>638.67673935309813</v>
      </c>
      <c r="H314" s="28"/>
    </row>
    <row r="315" spans="2:8" x14ac:dyDescent="0.2">
      <c r="B315" s="52" t="s">
        <v>743</v>
      </c>
      <c r="D315" s="413">
        <f>D314/(D265+D284+D285)</f>
        <v>0.68384660288041721</v>
      </c>
      <c r="E315" s="413">
        <f t="shared" ref="E315:F315" si="23">E314/(E265+E284+E285)</f>
        <v>0.68384660288041721</v>
      </c>
      <c r="F315" s="413">
        <f t="shared" si="23"/>
        <v>0.68384660288041721</v>
      </c>
      <c r="H315" s="28"/>
    </row>
    <row r="316" spans="2:8" x14ac:dyDescent="0.2">
      <c r="H316" s="28"/>
    </row>
    <row r="317" spans="2:8" x14ac:dyDescent="0.2">
      <c r="B317" s="1" t="s">
        <v>745</v>
      </c>
      <c r="C317" s="1" t="s">
        <v>211</v>
      </c>
      <c r="D317" s="7">
        <f>D265+D273+D284+D285-D290</f>
        <v>504007.5545148236</v>
      </c>
      <c r="E317" s="7">
        <f>E265+E273+E284+E285-E290</f>
        <v>10080.151090296473</v>
      </c>
      <c r="F317" s="7">
        <f>F265+F273+F284+F285-F290</f>
        <v>672.0100726864315</v>
      </c>
      <c r="H317" s="28"/>
    </row>
    <row r="318" spans="2:8" x14ac:dyDescent="0.2">
      <c r="B318" s="52" t="s">
        <v>744</v>
      </c>
      <c r="D318" s="413">
        <f>D317/(D265+D284+D285+D273)</f>
        <v>0.69474152354284369</v>
      </c>
      <c r="E318" s="413">
        <f t="shared" ref="E318:F318" si="24">E317/(E265+E284+E285+E273)</f>
        <v>0.69474152354284369</v>
      </c>
      <c r="F318" s="413">
        <f t="shared" si="24"/>
        <v>0.69474152354284369</v>
      </c>
    </row>
    <row r="319" spans="2:8" x14ac:dyDescent="0.2">
      <c r="H319" s="28"/>
    </row>
    <row r="320" spans="2:8" x14ac:dyDescent="0.2">
      <c r="B320" s="1" t="s">
        <v>746</v>
      </c>
      <c r="C320" s="1" t="s">
        <v>211</v>
      </c>
      <c r="D320" s="7">
        <f>D265+D273+D281+D284+D285-D290</f>
        <v>549007.5545148236</v>
      </c>
      <c r="E320" s="7">
        <f t="shared" ref="E320:F320" si="25">E265+E273+E281+E284+E285-E290</f>
        <v>10980.151090296473</v>
      </c>
      <c r="F320" s="7">
        <f t="shared" si="25"/>
        <v>732.01007268643161</v>
      </c>
      <c r="H320" s="28"/>
    </row>
    <row r="321" spans="2:6" x14ac:dyDescent="0.2">
      <c r="B321" s="52" t="s">
        <v>221</v>
      </c>
      <c r="D321" s="413">
        <f>D320/(D265+D284+D285+D273+D281)</f>
        <v>0.71257064118024183</v>
      </c>
      <c r="E321" s="413">
        <f t="shared" ref="E321:F321" si="26">E320/(E265+E284+E285+E273+E281)</f>
        <v>0.71257064118024183</v>
      </c>
      <c r="F321" s="413">
        <f t="shared" si="26"/>
        <v>0.71257064118024194</v>
      </c>
    </row>
    <row r="324" spans="2:6" ht="19" x14ac:dyDescent="0.25">
      <c r="B324" s="291" t="s">
        <v>229</v>
      </c>
      <c r="C324" s="291"/>
      <c r="D324" s="291"/>
      <c r="E324" s="291"/>
      <c r="F324" s="291"/>
    </row>
    <row r="325" spans="2:6" x14ac:dyDescent="0.2">
      <c r="B325" s="38"/>
    </row>
    <row r="326" spans="2:6" x14ac:dyDescent="0.2">
      <c r="B326" s="269" t="s">
        <v>231</v>
      </c>
    </row>
    <row r="327" spans="2:6" x14ac:dyDescent="0.2">
      <c r="B327" s="52" t="s">
        <v>757</v>
      </c>
    </row>
    <row r="328" spans="2:6" x14ac:dyDescent="0.2">
      <c r="B328" s="269"/>
    </row>
    <row r="329" spans="2:6" x14ac:dyDescent="0.2">
      <c r="B329" t="s">
        <v>756</v>
      </c>
      <c r="C329" t="s">
        <v>232</v>
      </c>
      <c r="F329" s="407">
        <f>D290/D261</f>
        <v>295.27063519397143</v>
      </c>
    </row>
    <row r="330" spans="2:6" x14ac:dyDescent="0.2">
      <c r="C330" s="52"/>
    </row>
    <row r="331" spans="2:6" x14ac:dyDescent="0.2">
      <c r="B331" t="s">
        <v>765</v>
      </c>
      <c r="C331" t="s">
        <v>232</v>
      </c>
      <c r="F331" s="407">
        <f>(D290+P260)/D261</f>
        <v>389.08101086481224</v>
      </c>
    </row>
    <row r="332" spans="2:6" x14ac:dyDescent="0.2">
      <c r="B332" s="52"/>
      <c r="C332" s="52"/>
    </row>
    <row r="333" spans="2:6" x14ac:dyDescent="0.2">
      <c r="B333" s="297" t="s">
        <v>766</v>
      </c>
    </row>
    <row r="334" spans="2:6" x14ac:dyDescent="0.2">
      <c r="B334" s="296" t="s">
        <v>758</v>
      </c>
    </row>
    <row r="335" spans="2:6" x14ac:dyDescent="0.2">
      <c r="B335" s="296"/>
    </row>
    <row r="336" spans="2:6" x14ac:dyDescent="0.2">
      <c r="B336" t="s">
        <v>754</v>
      </c>
      <c r="C336" t="s">
        <v>30</v>
      </c>
      <c r="D336" s="406">
        <f>D290/E265</f>
        <v>16.332291210089483</v>
      </c>
      <c r="E336" s="405">
        <f>E290/E265</f>
        <v>0.32664582420178967</v>
      </c>
    </row>
    <row r="337" spans="2:8" x14ac:dyDescent="0.2">
      <c r="H337" s="28"/>
    </row>
    <row r="338" spans="2:8" x14ac:dyDescent="0.2">
      <c r="B338" s="177" t="s">
        <v>230</v>
      </c>
      <c r="C338" t="s">
        <v>30</v>
      </c>
      <c r="D338" s="406">
        <f>D290/(E265+E284+E285)</f>
        <v>15.807669855979139</v>
      </c>
      <c r="E338" s="405">
        <f>E290/(E265+E284+E285)</f>
        <v>0.31615339711958279</v>
      </c>
    </row>
    <row r="339" spans="2:8" x14ac:dyDescent="0.2">
      <c r="B339" s="177"/>
      <c r="D339" s="406"/>
      <c r="E339" s="405"/>
    </row>
    <row r="340" spans="2:8" x14ac:dyDescent="0.2">
      <c r="B340" s="270" t="s">
        <v>760</v>
      </c>
      <c r="C340" t="s">
        <v>30</v>
      </c>
      <c r="D340" s="406">
        <f>D290/(E265+E284+E285+E273)</f>
        <v>15.262923822857813</v>
      </c>
      <c r="E340" s="405">
        <f>E290/(E265+E284+E285+E273)</f>
        <v>0.30525847645715626</v>
      </c>
    </row>
    <row r="341" spans="2:8" x14ac:dyDescent="0.2">
      <c r="B341" s="177"/>
      <c r="D341" s="406"/>
      <c r="E341" s="405"/>
    </row>
    <row r="342" spans="2:8" x14ac:dyDescent="0.2">
      <c r="B342" s="270" t="s">
        <v>761</v>
      </c>
      <c r="C342" t="s">
        <v>30</v>
      </c>
      <c r="D342" s="406">
        <f>D290/(E265+E284+E285+E273+E281)</f>
        <v>14.371467940987905</v>
      </c>
      <c r="E342" s="405">
        <f>E290/(E265+E284+E285+E273+E281)</f>
        <v>0.28742935881975806</v>
      </c>
    </row>
    <row r="343" spans="2:8" x14ac:dyDescent="0.2">
      <c r="B343" s="177"/>
      <c r="D343" s="406"/>
      <c r="E343" s="405"/>
    </row>
    <row r="344" spans="2:8" x14ac:dyDescent="0.2">
      <c r="B344" s="38" t="s">
        <v>762</v>
      </c>
      <c r="C344" t="s">
        <v>30</v>
      </c>
      <c r="D344" s="406">
        <f>D290/E263</f>
        <v>14.371467940987905</v>
      </c>
      <c r="E344" s="405">
        <f>E290/E263</f>
        <v>0.28742935881975806</v>
      </c>
    </row>
    <row r="345" spans="2:8" x14ac:dyDescent="0.2">
      <c r="B345" s="177"/>
      <c r="D345" s="406"/>
      <c r="E345" s="405"/>
    </row>
    <row r="346" spans="2:8" x14ac:dyDescent="0.2">
      <c r="B346" s="297" t="s">
        <v>767</v>
      </c>
    </row>
    <row r="347" spans="2:8" x14ac:dyDescent="0.2">
      <c r="B347" s="296" t="s">
        <v>758</v>
      </c>
    </row>
    <row r="348" spans="2:8" x14ac:dyDescent="0.2">
      <c r="B348" s="296"/>
    </row>
    <row r="349" spans="2:8" x14ac:dyDescent="0.2">
      <c r="B349" t="s">
        <v>754</v>
      </c>
      <c r="C349" t="s">
        <v>30</v>
      </c>
      <c r="D349" s="406">
        <f>(D290+P260)/E265</f>
        <v>21.521220251331805</v>
      </c>
      <c r="E349" s="405">
        <f>(E290+Q260)/E265</f>
        <v>0.43042440502663604</v>
      </c>
    </row>
    <row r="350" spans="2:8" x14ac:dyDescent="0.2">
      <c r="H350" s="28"/>
    </row>
    <row r="351" spans="2:8" x14ac:dyDescent="0.2">
      <c r="B351" s="177" t="s">
        <v>230</v>
      </c>
      <c r="C351" t="s">
        <v>30</v>
      </c>
      <c r="D351" s="406">
        <f>(D290+P260)/(E265+E284+E285)</f>
        <v>20.829921549568162</v>
      </c>
      <c r="E351" s="405">
        <f>(E290+Q260)/(E265+E284+E285)</f>
        <v>0.41659843099136312</v>
      </c>
    </row>
    <row r="352" spans="2:8" x14ac:dyDescent="0.2">
      <c r="B352" s="177"/>
      <c r="D352" s="406"/>
      <c r="E352" s="405"/>
    </row>
    <row r="353" spans="2:8" x14ac:dyDescent="0.2">
      <c r="B353" s="270" t="s">
        <v>760</v>
      </c>
      <c r="C353" t="s">
        <v>30</v>
      </c>
      <c r="D353" s="406">
        <f>(D290+P260)/(E265+E284+E285+E273)</f>
        <v>20.11210436096691</v>
      </c>
      <c r="E353" s="405">
        <f>(E290+Q260)/(E265+E284+E285+E273)</f>
        <v>0.40224208721933813</v>
      </c>
    </row>
    <row r="354" spans="2:8" x14ac:dyDescent="0.2">
      <c r="B354" s="177"/>
      <c r="D354" s="406"/>
      <c r="E354" s="405"/>
    </row>
    <row r="355" spans="2:8" x14ac:dyDescent="0.2">
      <c r="B355" s="270" t="s">
        <v>761</v>
      </c>
      <c r="C355" t="s">
        <v>30</v>
      </c>
      <c r="D355" s="406">
        <f>(D290+P260)/(E265+E284+E285+E273+E281)</f>
        <v>18.937424205483545</v>
      </c>
      <c r="E355" s="405">
        <f>(E290+Q260)/(E265+E284+E285+E273+E281)</f>
        <v>0.37874848410967082</v>
      </c>
    </row>
    <row r="356" spans="2:8" x14ac:dyDescent="0.2">
      <c r="B356" s="177"/>
      <c r="D356" s="406"/>
      <c r="E356" s="405"/>
    </row>
    <row r="357" spans="2:8" x14ac:dyDescent="0.2">
      <c r="B357" s="38" t="s">
        <v>762</v>
      </c>
      <c r="C357" t="s">
        <v>30</v>
      </c>
      <c r="D357" s="406">
        <f>(D290+P260)/E263</f>
        <v>18.937424205483545</v>
      </c>
      <c r="E357" s="405">
        <f>(E290+Q260)/E263</f>
        <v>0.37874848410967082</v>
      </c>
    </row>
    <row r="358" spans="2:8" x14ac:dyDescent="0.2">
      <c r="B358" s="177"/>
      <c r="D358" s="406"/>
      <c r="E358" s="405"/>
    </row>
    <row r="359" spans="2:8" x14ac:dyDescent="0.2">
      <c r="B359" s="269" t="s">
        <v>768</v>
      </c>
    </row>
    <row r="360" spans="2:8" x14ac:dyDescent="0.2">
      <c r="B360" s="52" t="s">
        <v>759</v>
      </c>
    </row>
    <row r="362" spans="2:8" x14ac:dyDescent="0.2">
      <c r="B362" t="s">
        <v>754</v>
      </c>
      <c r="C362" t="s">
        <v>81</v>
      </c>
      <c r="D362" s="407">
        <f>D$290/$F$265</f>
        <v>244.9843681513423</v>
      </c>
      <c r="E362" s="406">
        <f>E$290/$F$265</f>
        <v>4.8996873630268452</v>
      </c>
      <c r="F362" s="405">
        <f>F$290/$F$265</f>
        <v>0.32664582420178967</v>
      </c>
      <c r="H362" s="28"/>
    </row>
    <row r="363" spans="2:8" x14ac:dyDescent="0.2">
      <c r="B363" s="52"/>
    </row>
    <row r="364" spans="2:8" x14ac:dyDescent="0.2">
      <c r="B364" s="177" t="s">
        <v>230</v>
      </c>
      <c r="C364" t="s">
        <v>81</v>
      </c>
      <c r="D364" s="407">
        <f>D$290/($F$265+$F$284+$F$285)</f>
        <v>237.11504783968712</v>
      </c>
      <c r="E364" s="406">
        <f>E$290/($F$265+$F$284+$F$285)</f>
        <v>4.7423009567937422</v>
      </c>
      <c r="F364" s="405">
        <f>F$290/($F$265+$F$284+$F$285)</f>
        <v>0.31615339711958279</v>
      </c>
      <c r="H364" s="28"/>
    </row>
    <row r="365" spans="2:8" x14ac:dyDescent="0.2">
      <c r="B365" s="296"/>
      <c r="H365" s="28"/>
    </row>
    <row r="366" spans="2:8" x14ac:dyDescent="0.2">
      <c r="B366" s="270" t="s">
        <v>760</v>
      </c>
      <c r="C366" t="s">
        <v>81</v>
      </c>
      <c r="D366" s="407">
        <f>D$290/($F$265+$F$284+$F$285+$F$273)</f>
        <v>228.94385734286723</v>
      </c>
      <c r="E366" s="406">
        <f>E$290/($F$265+$F$284+$F$285+$F$273)</f>
        <v>4.5788771468573444</v>
      </c>
      <c r="F366" s="405">
        <f>F$290/($F$265+$F$284+$F$285+$F$273)</f>
        <v>0.30525847645715626</v>
      </c>
      <c r="H366" s="28"/>
    </row>
    <row r="367" spans="2:8" x14ac:dyDescent="0.2">
      <c r="B367" s="177"/>
    </row>
    <row r="368" spans="2:8" x14ac:dyDescent="0.2">
      <c r="B368" s="270" t="s">
        <v>761</v>
      </c>
      <c r="C368" t="s">
        <v>81</v>
      </c>
      <c r="D368" s="407">
        <f>D$290/($F$265+$F$284+$F$285+$F$273+$F$281)</f>
        <v>215.57201911481857</v>
      </c>
      <c r="E368" s="406">
        <f>E$290/($F$265+$F$284+$F$285+$F$273+$F$281)</f>
        <v>4.3114403822963707</v>
      </c>
      <c r="F368" s="405">
        <f>F$290/($F$265+$F$284+$F$285+$F$273+$F$281)</f>
        <v>0.28742935881975806</v>
      </c>
    </row>
    <row r="369" spans="2:8" x14ac:dyDescent="0.2">
      <c r="B369" s="177"/>
    </row>
    <row r="370" spans="2:8" x14ac:dyDescent="0.2">
      <c r="B370" s="38" t="s">
        <v>762</v>
      </c>
      <c r="C370" t="s">
        <v>81</v>
      </c>
      <c r="D370" s="407">
        <f>D$290/$F$263</f>
        <v>215.57201911481857</v>
      </c>
      <c r="E370" s="406">
        <f>E$290/$F$263</f>
        <v>4.3114403822963707</v>
      </c>
      <c r="F370" s="405">
        <f>F$290/$F$263</f>
        <v>0.28742935881975806</v>
      </c>
    </row>
    <row r="372" spans="2:8" x14ac:dyDescent="0.2">
      <c r="B372" s="269" t="s">
        <v>769</v>
      </c>
    </row>
    <row r="373" spans="2:8" x14ac:dyDescent="0.2">
      <c r="B373" s="52" t="s">
        <v>759</v>
      </c>
    </row>
    <row r="375" spans="2:8" x14ac:dyDescent="0.2">
      <c r="B375" t="s">
        <v>754</v>
      </c>
      <c r="C375" t="s">
        <v>81</v>
      </c>
      <c r="D375" s="407">
        <f>(D$290+$P$260)/$F$265</f>
        <v>322.81830376997715</v>
      </c>
      <c r="E375" s="406">
        <f>(E$290+$Q$260)/$F$265</f>
        <v>6.4563660753995418</v>
      </c>
      <c r="F375" s="405">
        <f>(F$290+$R$260)/$F$265</f>
        <v>0.43042440502663615</v>
      </c>
      <c r="H375" s="6"/>
    </row>
    <row r="376" spans="2:8" x14ac:dyDescent="0.2">
      <c r="B376" s="52"/>
      <c r="G376" s="212"/>
      <c r="H376" s="212"/>
    </row>
    <row r="377" spans="2:8" ht="17" x14ac:dyDescent="0.2">
      <c r="B377" s="177" t="s">
        <v>230</v>
      </c>
      <c r="C377" t="s">
        <v>81</v>
      </c>
      <c r="D377" s="407">
        <f>(D$290+$P$260)/($F$265+$F$284+$F$285)</f>
        <v>312.44882324352244</v>
      </c>
      <c r="E377" s="406">
        <f>(E$290+$Q$260)/($F$265+$F$284+$F$285)</f>
        <v>6.2489764648704478</v>
      </c>
      <c r="F377" s="405">
        <f>(F$290+$R$260)/($F$265+$F$284+$F$285)</f>
        <v>0.41659843099136323</v>
      </c>
      <c r="G377" s="210"/>
      <c r="H377" s="210"/>
    </row>
    <row r="378" spans="2:8" ht="17" x14ac:dyDescent="0.2">
      <c r="B378" s="296"/>
      <c r="G378" s="210"/>
      <c r="H378" s="210"/>
    </row>
    <row r="379" spans="2:8" ht="17" x14ac:dyDescent="0.2">
      <c r="B379" s="270" t="s">
        <v>760</v>
      </c>
      <c r="C379" t="s">
        <v>81</v>
      </c>
      <c r="D379" s="407">
        <f>(D$290+$P$260)/($F$265+$F$284+$F$285+$F$273)</f>
        <v>301.68156541450367</v>
      </c>
      <c r="E379" s="406">
        <f>(E$290+$Q$260)/($F$265+$F$284+$F$285+$F$273)</f>
        <v>6.0336313082900723</v>
      </c>
      <c r="F379" s="405">
        <f>(F$290+$R$260)/($F$265+$F$284+$F$285+$F$273)</f>
        <v>0.40224208721933824</v>
      </c>
      <c r="G379" s="210"/>
      <c r="H379" s="210"/>
    </row>
    <row r="380" spans="2:8" ht="17" x14ac:dyDescent="0.2">
      <c r="B380" s="177"/>
      <c r="G380" s="210"/>
      <c r="H380" s="210"/>
    </row>
    <row r="381" spans="2:8" x14ac:dyDescent="0.2">
      <c r="B381" s="270" t="s">
        <v>761</v>
      </c>
      <c r="C381" t="s">
        <v>81</v>
      </c>
      <c r="D381" s="407">
        <f>(D$290+$P$260)/($F$265+$F$284+$F$285+$F$273+$F$281)</f>
        <v>284.06136308225314</v>
      </c>
      <c r="E381" s="406">
        <f>(E$290+$Q$260)/($F$265+$F$284+$F$285+$F$273+$F$281)</f>
        <v>5.6812272616450619</v>
      </c>
      <c r="F381" s="405">
        <f>(F$290+$R$260)/($F$265+$F$284+$F$285+$F$273+$F$281)</f>
        <v>0.37874848410967082</v>
      </c>
    </row>
    <row r="382" spans="2:8" x14ac:dyDescent="0.2">
      <c r="B382" s="177"/>
    </row>
    <row r="383" spans="2:8" x14ac:dyDescent="0.2">
      <c r="B383" s="38" t="s">
        <v>762</v>
      </c>
      <c r="C383" t="s">
        <v>81</v>
      </c>
      <c r="D383" s="407">
        <f>(D$290+$P$260)/$F$263</f>
        <v>284.06136308225314</v>
      </c>
      <c r="E383" s="406">
        <f>(E$290+$Q$260)/$F$263</f>
        <v>5.6812272616450619</v>
      </c>
      <c r="F383" s="405">
        <f>(F$290+$R$260)/$F$263</f>
        <v>0.37874848410967082</v>
      </c>
    </row>
    <row r="385" spans="2:8" x14ac:dyDescent="0.2">
      <c r="B385" s="269" t="s">
        <v>974</v>
      </c>
    </row>
    <row r="386" spans="2:8" x14ac:dyDescent="0.2">
      <c r="B386" s="296"/>
      <c r="H386" s="28"/>
    </row>
    <row r="387" spans="2:8" x14ac:dyDescent="0.2">
      <c r="B387" t="s">
        <v>973</v>
      </c>
      <c r="C387" t="s">
        <v>124</v>
      </c>
      <c r="D387" s="294">
        <f>D290+P260</f>
        <v>291810.75814860919</v>
      </c>
      <c r="E387" s="294">
        <f t="shared" ref="E387:F387" si="27">E290+Q260</f>
        <v>5836.215162972183</v>
      </c>
      <c r="F387" s="294">
        <f t="shared" si="27"/>
        <v>389.08101086481224</v>
      </c>
      <c r="H387" s="28"/>
    </row>
    <row r="388" spans="2:8" x14ac:dyDescent="0.2">
      <c r="H388" s="28"/>
    </row>
    <row r="389" spans="2:8" x14ac:dyDescent="0.2">
      <c r="B389" s="52"/>
    </row>
    <row r="392" spans="2:8" x14ac:dyDescent="0.2">
      <c r="B392" s="52"/>
      <c r="C392" s="52"/>
    </row>
    <row r="394" spans="2:8" x14ac:dyDescent="0.2">
      <c r="B394" s="297"/>
    </row>
    <row r="395" spans="2:8" x14ac:dyDescent="0.2">
      <c r="B395" s="295"/>
    </row>
    <row r="397" spans="2:8" x14ac:dyDescent="0.2">
      <c r="B397" s="296"/>
    </row>
    <row r="400" spans="2:8" x14ac:dyDescent="0.2">
      <c r="B400" s="52"/>
    </row>
    <row r="403" spans="2:3" x14ac:dyDescent="0.2">
      <c r="B403" s="52"/>
      <c r="C403" s="52"/>
    </row>
  </sheetData>
  <mergeCells count="15">
    <mergeCell ref="D13:R13"/>
    <mergeCell ref="D16:R16"/>
    <mergeCell ref="D20:R20"/>
    <mergeCell ref="D24:R24"/>
    <mergeCell ref="D27:R27"/>
    <mergeCell ref="C114:D114"/>
    <mergeCell ref="E114:F114"/>
    <mergeCell ref="D22:R22"/>
    <mergeCell ref="C59:D59"/>
    <mergeCell ref="E59:F59"/>
    <mergeCell ref="C68:D68"/>
    <mergeCell ref="E68:F68"/>
    <mergeCell ref="C110:D110"/>
    <mergeCell ref="E110:F110"/>
    <mergeCell ref="D29:R29"/>
  </mergeCells>
  <conditionalFormatting sqref="D163">
    <cfRule type="cellIs" dxfId="149" priority="8" operator="equal">
      <formula>$C$163</formula>
    </cfRule>
    <cfRule type="cellIs" dxfId="148" priority="9" operator="greaterThan">
      <formula>$C$163</formula>
    </cfRule>
    <cfRule type="cellIs" dxfId="147" priority="29" operator="lessThan">
      <formula>$C$163</formula>
    </cfRule>
  </conditionalFormatting>
  <conditionalFormatting sqref="N187:R200">
    <cfRule type="expression" dxfId="146" priority="47">
      <formula>$O$185="Nee"</formula>
    </cfRule>
  </conditionalFormatting>
  <conditionalFormatting sqref="N203:R213 N202 P202:R202">
    <cfRule type="expression" dxfId="145" priority="46">
      <formula>$O$202="Nee"</formula>
    </cfRule>
  </conditionalFormatting>
  <conditionalFormatting sqref="N216:R226 N215 P215:R215">
    <cfRule type="expression" dxfId="144" priority="45">
      <formula>$O$215="Nee"</formula>
    </cfRule>
  </conditionalFormatting>
  <conditionalFormatting sqref="Y182">
    <cfRule type="cellIs" dxfId="143" priority="48" operator="greaterThan">
      <formula>$O$192</formula>
    </cfRule>
  </conditionalFormatting>
  <conditionalFormatting sqref="K182">
    <cfRule type="cellIs" dxfId="142" priority="42" operator="greaterThan">
      <formula>$K$163</formula>
    </cfRule>
    <cfRule type="cellIs" dxfId="141" priority="43" operator="equal">
      <formula>$K$163</formula>
    </cfRule>
    <cfRule type="cellIs" dxfId="140" priority="44" operator="lessThan">
      <formula>$K$163</formula>
    </cfRule>
  </conditionalFormatting>
  <conditionalFormatting sqref="H187:L200">
    <cfRule type="expression" dxfId="139" priority="41">
      <formula>$I$185="Nee"</formula>
    </cfRule>
  </conditionalFormatting>
  <conditionalFormatting sqref="H203:L213 H202 J202:L202">
    <cfRule type="expression" dxfId="138" priority="40">
      <formula>$I$202="Nee"</formula>
    </cfRule>
  </conditionalFormatting>
  <conditionalFormatting sqref="H216:L226 H215 J215:L215">
    <cfRule type="expression" dxfId="137" priority="39">
      <formula>$I$215="Nee"</formula>
    </cfRule>
  </conditionalFormatting>
  <conditionalFormatting sqref="T187:X200">
    <cfRule type="expression" dxfId="136" priority="38">
      <formula>$U$185="Nee"</formula>
    </cfRule>
  </conditionalFormatting>
  <conditionalFormatting sqref="T203:X213 T202 V202:X202">
    <cfRule type="expression" dxfId="135" priority="37">
      <formula>$U$202="Nee"</formula>
    </cfRule>
  </conditionalFormatting>
  <conditionalFormatting sqref="T216:X226 T215 V215:X215">
    <cfRule type="expression" dxfId="134" priority="36">
      <formula>$U$215="Nee"</formula>
    </cfRule>
  </conditionalFormatting>
  <conditionalFormatting sqref="Z187:AD200">
    <cfRule type="expression" dxfId="133" priority="35">
      <formula>$AA$185="Nee"</formula>
    </cfRule>
  </conditionalFormatting>
  <conditionalFormatting sqref="Z203:AD213 Z202 AB202:AD202">
    <cfRule type="expression" dxfId="132" priority="34">
      <formula>$AA$202="Nee"</formula>
    </cfRule>
  </conditionalFormatting>
  <conditionalFormatting sqref="Z216:AD226 Z215 AB215:AD215">
    <cfRule type="expression" dxfId="131" priority="33">
      <formula>$AA$215="Nee"</formula>
    </cfRule>
  </conditionalFormatting>
  <conditionalFormatting sqref="AF187:AJ200">
    <cfRule type="expression" dxfId="130" priority="32">
      <formula>$AG$185="Nee"</formula>
    </cfRule>
  </conditionalFormatting>
  <conditionalFormatting sqref="AF203:AJ213 AF202 AH202:AJ202">
    <cfRule type="expression" dxfId="129" priority="31">
      <formula>$AG$202="Nee"</formula>
    </cfRule>
  </conditionalFormatting>
  <conditionalFormatting sqref="AF216:AJ226 AF215 AH215:AJ215">
    <cfRule type="expression" dxfId="128" priority="30">
      <formula>$AG$215="Nee"</formula>
    </cfRule>
  </conditionalFormatting>
  <conditionalFormatting sqref="N110:N154 P110:R154 O112:O154">
    <cfRule type="expression" dxfId="127" priority="28">
      <formula>$O$110="Nee"</formula>
    </cfRule>
  </conditionalFormatting>
  <conditionalFormatting sqref="J224">
    <cfRule type="expression" dxfId="126" priority="25">
      <formula>$I$215="Nee"</formula>
    </cfRule>
  </conditionalFormatting>
  <conditionalFormatting sqref="K224">
    <cfRule type="expression" dxfId="125" priority="24">
      <formula>$I$202="Nee"</formula>
    </cfRule>
  </conditionalFormatting>
  <conditionalFormatting sqref="D164">
    <cfRule type="cellIs" dxfId="124" priority="6" operator="equal">
      <formula>$C$164</formula>
    </cfRule>
    <cfRule type="cellIs" dxfId="123" priority="7" operator="lessThan">
      <formula>$C$164</formula>
    </cfRule>
    <cfRule type="cellIs" dxfId="122" priority="23" operator="greaterThan">
      <formula>$C$164</formula>
    </cfRule>
  </conditionalFormatting>
  <conditionalFormatting sqref="D162">
    <cfRule type="cellIs" dxfId="121" priority="10" operator="lessThan">
      <formula>$C$162</formula>
    </cfRule>
    <cfRule type="cellIs" dxfId="120" priority="49" operator="greaterThan">
      <formula>$C$162</formula>
    </cfRule>
    <cfRule type="cellIs" dxfId="119" priority="50" operator="equal">
      <formula>$C$162</formula>
    </cfRule>
  </conditionalFormatting>
  <conditionalFormatting sqref="Q182">
    <cfRule type="cellIs" dxfId="118" priority="20" operator="greaterThan">
      <formula>$Q$163</formula>
    </cfRule>
    <cfRule type="cellIs" dxfId="117" priority="21" operator="equal">
      <formula>$Q$163</formula>
    </cfRule>
    <cfRule type="cellIs" dxfId="116" priority="22" operator="lessThan">
      <formula>$Q$163</formula>
    </cfRule>
  </conditionalFormatting>
  <conditionalFormatting sqref="W182">
    <cfRule type="cellIs" dxfId="115" priority="17" operator="greaterThan">
      <formula>$W$163</formula>
    </cfRule>
    <cfRule type="cellIs" dxfId="114" priority="18" operator="equal">
      <formula>$W$163</formula>
    </cfRule>
    <cfRule type="cellIs" dxfId="113" priority="19" operator="lessThan">
      <formula>$W$163</formula>
    </cfRule>
  </conditionalFormatting>
  <conditionalFormatting sqref="AC182">
    <cfRule type="cellIs" dxfId="112" priority="14" operator="greaterThan">
      <formula>$AC$163</formula>
    </cfRule>
    <cfRule type="cellIs" dxfId="111" priority="15" operator="equal">
      <formula>$AC$163</formula>
    </cfRule>
    <cfRule type="cellIs" dxfId="110" priority="16" operator="lessThan">
      <formula>$AC$163</formula>
    </cfRule>
  </conditionalFormatting>
  <conditionalFormatting sqref="AI182">
    <cfRule type="cellIs" dxfId="109" priority="11" operator="greaterThan">
      <formula>$AI$163</formula>
    </cfRule>
    <cfRule type="cellIs" dxfId="108" priority="12" operator="equal">
      <formula>$AI$163</formula>
    </cfRule>
    <cfRule type="cellIs" dxfId="107" priority="13" operator="lessThan">
      <formula>$AI$163</formula>
    </cfRule>
  </conditionalFormatting>
  <conditionalFormatting sqref="H155:L155">
    <cfRule type="expression" dxfId="106" priority="4">
      <formula>$O$110="Nee"</formula>
    </cfRule>
  </conditionalFormatting>
  <conditionalFormatting sqref="N155:R155">
    <cfRule type="expression" dxfId="105" priority="3">
      <formula>$O$110="Nee"</formula>
    </cfRule>
  </conditionalFormatting>
  <conditionalFormatting sqref="H35:L53">
    <cfRule type="expression" dxfId="104" priority="2">
      <formula>$C$45="Vaste waarden"</formula>
    </cfRule>
  </conditionalFormatting>
  <conditionalFormatting sqref="B48:F51">
    <cfRule type="expression" dxfId="103" priority="1">
      <formula>$C$45="Berekend"</formula>
    </cfRule>
  </conditionalFormatting>
  <dataValidations count="1">
    <dataValidation type="list" allowBlank="1" showInputMessage="1" showErrorMessage="1" sqref="C45" xr:uid="{EDF84536-BDEA-4144-B703-FA51775638DB}">
      <formula1>"Berekend, Vaste waarden"</formula1>
    </dataValidation>
  </dataValidations>
  <pageMargins left="0.7" right="0.7" top="0.75" bottom="0.75" header="0.3" footer="0.3"/>
  <pageSetup paperSize="9" orientation="portrait" horizontalDpi="0" verticalDpi="0"/>
  <ignoredErrors>
    <ignoredError sqref="E116 C117 Q99" formula="1"/>
  </ignoredErrors>
  <extLst>
    <ext xmlns:x14="http://schemas.microsoft.com/office/spreadsheetml/2009/9/main" uri="{78C0D931-6437-407d-A8EE-F0AAD7539E65}">
      <x14:conditionalFormattings>
        <x14:conditionalFormatting xmlns:xm="http://schemas.microsoft.com/office/excel/2006/main">
          <x14:cfRule type="expression" priority="27" id="{9B2ACCF3-2179-7049-8B7F-C332E4A7A736}">
            <xm:f>$H$60='DATA - Variabelen &amp; waarden'!$B$55</xm:f>
            <x14:dxf>
              <font>
                <u val="none"/>
                <color theme="0" tint="-0.34998626667073579"/>
              </font>
              <fill>
                <patternFill>
                  <bgColor theme="0" tint="-4.9989318521683403E-2"/>
                </patternFill>
              </fill>
            </x14:dxf>
          </x14:cfRule>
          <xm:sqref>H62:L62 I63:L64</xm:sqref>
        </x14:conditionalFormatting>
        <x14:conditionalFormatting xmlns:xm="http://schemas.microsoft.com/office/excel/2006/main">
          <x14:cfRule type="expression" priority="26" id="{0D6BC760-01D2-5E4A-9E04-DFF54C5EA2A1}">
            <xm:f>$H$60='DATA - Variabelen &amp; waarden'!$B$54</xm:f>
            <x14:dxf>
              <font>
                <color theme="0" tint="-0.34998626667073579"/>
              </font>
              <fill>
                <patternFill>
                  <bgColor theme="0" tint="-4.9989318521683403E-2"/>
                </patternFill>
              </fill>
            </x14:dxf>
          </x14:cfRule>
          <xm:sqref>H65:L72</xm:sqref>
        </x14:conditionalFormatting>
        <x14:conditionalFormatting xmlns:xm="http://schemas.microsoft.com/office/excel/2006/main">
          <x14:cfRule type="expression" priority="5" id="{DB3B6299-A043-EE4D-8DFD-21658C1534E4}">
            <xm:f>$H$60='DATA - Variabelen &amp; waarden'!$B$55</xm:f>
            <x14:dxf>
              <font>
                <u val="none"/>
                <color theme="0" tint="-0.34998626667073579"/>
              </font>
              <fill>
                <patternFill>
                  <bgColor theme="0" tint="-4.9989318521683403E-2"/>
                </patternFill>
              </fill>
            </x14:dxf>
          </x14:cfRule>
          <xm:sqref>H63</xm:sqref>
        </x14:conditionalFormatting>
      </x14:conditionalFormattings>
    </ext>
    <ext xmlns:x14="http://schemas.microsoft.com/office/spreadsheetml/2009/9/main" uri="{CCE6A557-97BC-4b89-ADB6-D9C93CAAB3DF}">
      <x14:dataValidations xmlns:xm="http://schemas.microsoft.com/office/excel/2006/main" count="53">
        <x14:dataValidation type="list" allowBlank="1" showInputMessage="1" showErrorMessage="1" xr:uid="{2FEE0295-4EF0-1C4D-A98E-6CD2D170EDDC}">
          <x14:formula1>
            <xm:f>'DATA - Variabelen &amp; waarden'!$B$348:$B$362</xm:f>
          </x14:formula1>
          <xm:sqref>N209 AF222 AF209 Z222 Z209 T222 T209 H222 H209 N222</xm:sqref>
        </x14:dataValidation>
        <x14:dataValidation type="list" allowBlank="1" showInputMessage="1" showErrorMessage="1" xr:uid="{90F355E5-2B25-9F48-A73A-3E8BB9FA30F9}">
          <x14:formula1>
            <xm:f>'DATA - Variabelen &amp; waarden'!$B$267:$B$271</xm:f>
          </x14:formula1>
          <xm:sqref>H150</xm:sqref>
        </x14:dataValidation>
        <x14:dataValidation type="list" allowBlank="1" showInputMessage="1" showErrorMessage="1" xr:uid="{6ADCE534-BC0C-7A43-A356-E5DC70B0F2B2}">
          <x14:formula1>
            <xm:f>'DATA - Variabelen &amp; waarden'!$D$420:$G$420</xm:f>
          </x14:formula1>
          <xm:sqref>O249</xm:sqref>
        </x14:dataValidation>
        <x14:dataValidation type="list" allowBlank="1" showInputMessage="1" showErrorMessage="1" xr:uid="{A9A6FE30-B9AF-4F4A-80BD-6A8E23F93C59}">
          <x14:formula1>
            <xm:f>'DATA - Variabelen &amp; waarden'!$B$255:$B$259</xm:f>
          </x14:formula1>
          <xm:sqref>H148</xm:sqref>
        </x14:dataValidation>
        <x14:dataValidation type="list" allowBlank="1" showInputMessage="1" showErrorMessage="1" xr:uid="{F91C134B-1EB8-1F4A-95F9-53BE7238BFD2}">
          <x14:formula1>
            <xm:f>'DATA - Variabelen &amp; waarden'!$D$399:$G$399</xm:f>
          </x14:formula1>
          <xm:sqref>I240:I243</xm:sqref>
        </x14:dataValidation>
        <x14:dataValidation type="list" allowBlank="1" showInputMessage="1" showErrorMessage="1" xr:uid="{C9902EF8-EEDB-0144-AE47-A638ED8B5DDA}">
          <x14:formula1>
            <xm:f>'DATA - Variabelen &amp; waarden'!$D$214:$G$214</xm:f>
          </x14:formula1>
          <xm:sqref>I141 I144</xm:sqref>
        </x14:dataValidation>
        <x14:dataValidation type="list" allowBlank="1" showInputMessage="1" showErrorMessage="1" xr:uid="{0D00A245-8270-4940-BD11-A37660771701}">
          <x14:formula1>
            <xm:f>'DATA - Variabelen &amp; waarden'!$D$189:$G$189</xm:f>
          </x14:formula1>
          <xm:sqref>I124 I127</xm:sqref>
        </x14:dataValidation>
        <x14:dataValidation type="list" allowBlank="1" showInputMessage="1" showErrorMessage="1" xr:uid="{EB6E2BD9-827C-3544-BB8E-C41796FD9EE6}">
          <x14:formula1>
            <xm:f>'DATA - Variabelen &amp; waarden'!$B$23:$B$36</xm:f>
          </x14:formula1>
          <xm:sqref>B38:B39</xm:sqref>
        </x14:dataValidation>
        <x14:dataValidation type="list" allowBlank="1" showInputMessage="1" showErrorMessage="1" xr:uid="{34F40717-C0F8-2840-9AF0-6690E9A9C578}">
          <x14:formula1>
            <xm:f>'DATA - Variabelen &amp; waarden'!$B$389:$B$394</xm:f>
          </x14:formula1>
          <xm:sqref>B240:B244</xm:sqref>
        </x14:dataValidation>
        <x14:dataValidation type="list" allowBlank="1" showInputMessage="1" showErrorMessage="1" xr:uid="{FBE73EFE-2374-ED4A-8929-1F96E5D8642D}">
          <x14:formula1>
            <xm:f>'DATA - Variabelen &amp; waarden'!$D$396:$G$396</xm:f>
          </x14:formula1>
          <xm:sqref>C249</xm:sqref>
        </x14:dataValidation>
        <x14:dataValidation type="list" allowBlank="1" showInputMessage="1" showErrorMessage="1" xr:uid="{9089F3EC-9111-E647-84B3-6A23F22965BE}">
          <x14:formula1>
            <xm:f>'DATA - Variabelen &amp; waarden'!$B$39:$B$42</xm:f>
          </x14:formula1>
          <xm:sqref>H39 H46</xm:sqref>
        </x14:dataValidation>
        <x14:dataValidation type="list" allowBlank="1" showInputMessage="1" showErrorMessage="1" xr:uid="{BD98FA46-7158-5F47-9280-6EF3E07B131B}">
          <x14:formula1>
            <xm:f>'DATA - Variabelen &amp; waarden'!$D$381:$G$381</xm:f>
          </x14:formula1>
          <xm:sqref>O119 AG184 AA184 U184 O184 I184</xm:sqref>
        </x14:dataValidation>
        <x14:dataValidation type="list" allowBlank="1" showInputMessage="1" showErrorMessage="1" xr:uid="{DF80991A-2DAF-6A40-95C3-807792670D92}">
          <x14:formula1>
            <xm:f>'DATA - Variabelen &amp; waarden'!$B$232:$B$237</xm:f>
          </x14:formula1>
          <xm:sqref>H131</xm:sqref>
        </x14:dataValidation>
        <x14:dataValidation type="list" allowBlank="1" showInputMessage="1" showErrorMessage="1" xr:uid="{D5A868DA-FA98-4441-80AA-6C4C7990A1B7}">
          <x14:formula1>
            <xm:f>'DATA - Variabelen &amp; waarden'!$B$326:$B$327</xm:f>
          </x14:formula1>
          <xm:sqref>O185 O202 O215 I185 I202 I215 U185 U202 U215 AA185 AA202 AA215 AG185 AG202 AG215 O110</xm:sqref>
        </x14:dataValidation>
        <x14:dataValidation type="list" allowBlank="1" showInputMessage="1" showErrorMessage="1" xr:uid="{6767EF73-5F9D-984C-BB6E-920C7F1C25D6}">
          <x14:formula1>
            <xm:f>'DATA - Variabelen &amp; waarden'!$D$273:$G$273</xm:f>
          </x14:formula1>
          <xm:sqref>O114 AG182 AA182 U182 I182 O182 O116</xm:sqref>
        </x14:dataValidation>
        <x14:dataValidation type="list" allowBlank="1" showInputMessage="1" showErrorMessage="1" xr:uid="{5AB4997E-5C7D-4D4B-B630-BF79172F852B}">
          <x14:formula1>
            <xm:f>'DATA - Variabelen &amp; waarden'!$D$261:$G$261</xm:f>
          </x14:formula1>
          <xm:sqref>I152</xm:sqref>
        </x14:dataValidation>
        <x14:dataValidation type="list" allowBlank="1" showInputMessage="1" showErrorMessage="1" xr:uid="{5E1A721F-8C41-1D41-BA4C-32BED920935B}">
          <x14:formula1>
            <xm:f>'DATA - Variabelen &amp; waarden'!$B$262:$B$264</xm:f>
          </x14:formula1>
          <xm:sqref>H152</xm:sqref>
        </x14:dataValidation>
        <x14:dataValidation type="list" allowBlank="1" showInputMessage="1" showErrorMessage="1" xr:uid="{C9363EA0-C2F9-4E4A-A40A-FAD84D4D1C7F}">
          <x14:formula1>
            <xm:f>'DATA - Variabelen &amp; waarden'!$D$248:$G$248</xm:f>
          </x14:formula1>
          <xm:sqref>I135</xm:sqref>
        </x14:dataValidation>
        <x14:dataValidation type="list" allowBlank="1" showInputMessage="1" showErrorMessage="1" xr:uid="{C5B45D1B-F078-5645-BE0E-60B1F987A471}">
          <x14:formula1>
            <xm:f>'DATA - Variabelen &amp; waarden'!$B$249:$B$252</xm:f>
          </x14:formula1>
          <xm:sqref>H135</xm:sqref>
        </x14:dataValidation>
        <x14:dataValidation type="list" allowBlank="1" showInputMessage="1" showErrorMessage="1" xr:uid="{92F99453-0879-DE46-A000-9A8A5D28F93D}">
          <x14:formula1>
            <xm:f>'DATA - Variabelen &amp; waarden'!$B$240:$B$246</xm:f>
          </x14:formula1>
          <xm:sqref>H133</xm:sqref>
        </x14:dataValidation>
        <x14:dataValidation type="list" allowBlank="1" showInputMessage="1" showErrorMessage="1" xr:uid="{052700FF-4192-AD4C-BD78-3272935ACF55}">
          <x14:formula1>
            <xm:f>'DATA - Variabelen &amp; waarden'!$D$239:$G$239</xm:f>
          </x14:formula1>
          <xm:sqref>I133</xm:sqref>
        </x14:dataValidation>
        <x14:dataValidation type="list" allowBlank="1" showInputMessage="1" showErrorMessage="1" xr:uid="{50554B77-FBFE-0243-B89F-D1BD6BCABDAF}">
          <x14:formula1>
            <xm:f>'DATA - Variabelen &amp; waarden'!$D$231:$G$231</xm:f>
          </x14:formula1>
          <xm:sqref>I131</xm:sqref>
        </x14:dataValidation>
        <x14:dataValidation type="list" allowBlank="1" showInputMessage="1" showErrorMessage="1" xr:uid="{810F17E2-072C-4F44-8CB5-CB9E93236097}">
          <x14:formula1>
            <xm:f>'DATA - Variabelen &amp; waarden'!$B$158:$B$159</xm:f>
          </x14:formula1>
          <xm:sqref>H110</xm:sqref>
        </x14:dataValidation>
        <x14:dataValidation type="list" allowBlank="1" showInputMessage="1" showErrorMessage="1" xr:uid="{D6DDAE12-98CF-DF4A-8508-AB84B29CFB30}">
          <x14:formula1>
            <xm:f>'DATA - Variabelen &amp; waarden'!$B$54:$B$55</xm:f>
          </x14:formula1>
          <xm:sqref>H60</xm:sqref>
        </x14:dataValidation>
        <x14:dataValidation type="list" allowBlank="1" showInputMessage="1" showErrorMessage="1" xr:uid="{B01A1093-97E6-8944-9A13-78E341323FE2}">
          <x14:formula1>
            <xm:f>'DATA - Variabelen &amp; waarden'!$D$53:$G$53</xm:f>
          </x14:formula1>
          <xm:sqref>I66:I69</xm:sqref>
        </x14:dataValidation>
        <x14:dataValidation type="list" allowBlank="1" showInputMessage="1" showErrorMessage="1" xr:uid="{C8168D41-4D30-2E4D-917E-7F9532795C97}">
          <x14:formula1>
            <xm:f>'DATA - Variabelen &amp; waarden'!$D$77:$G$77</xm:f>
          </x14:formula1>
          <xm:sqref>I75:I76 I78:I79 I87:I91 I81:I82 I84:I85</xm:sqref>
        </x14:dataValidation>
        <x14:dataValidation type="list" allowBlank="1" showInputMessage="1" showErrorMessage="1" xr:uid="{B2863823-E5ED-5C41-9136-3720D21186A7}">
          <x14:formula1>
            <xm:f>'DATA - Variabelen &amp; waarden'!$D$96:$G$96</xm:f>
          </x14:formula1>
          <xm:sqref>I94:I96 I102:I103 I98:I100</xm:sqref>
        </x14:dataValidation>
        <x14:dataValidation type="list" allowBlank="1" showInputMessage="1" showErrorMessage="1" xr:uid="{CE9A4622-E88B-4B4B-8FC1-9A0F26EE7C25}">
          <x14:formula1>
            <xm:f>'DATA - Variabelen &amp; waarden'!$D$111:$G$111</xm:f>
          </x14:formula1>
          <xm:sqref>O68:O71 O73:O74 O60:O63 O65:O66</xm:sqref>
        </x14:dataValidation>
        <x14:dataValidation type="list" allowBlank="1" showInputMessage="1" showErrorMessage="1" xr:uid="{BF07BFB8-285D-4449-A9B4-2E16BDC41BAD}">
          <x14:formula1>
            <xm:f>'DATA - Variabelen &amp; waarden'!$D$129:$G$129</xm:f>
          </x14:formula1>
          <xm:sqref>O78:O80</xm:sqref>
        </x14:dataValidation>
        <x14:dataValidation type="list" allowBlank="1" showInputMessage="1" showErrorMessage="1" xr:uid="{D3D50493-FCC6-4744-8CD0-A08A346DAE6D}">
          <x14:formula1>
            <xm:f>'DATA - Variabelen &amp; waarden'!$D$134:$G$134</xm:f>
          </x14:formula1>
          <xm:sqref>O83:O84</xm:sqref>
        </x14:dataValidation>
        <x14:dataValidation type="list" allowBlank="1" showInputMessage="1" showErrorMessage="1" xr:uid="{6A674E6A-0D9A-044D-9E8A-3CBB524A1B32}">
          <x14:formula1>
            <xm:f>'DATA - Variabelen &amp; waarden'!$D$138:$G$138</xm:f>
          </x14:formula1>
          <xm:sqref>O87:O93</xm:sqref>
        </x14:dataValidation>
        <x14:dataValidation type="list" allowBlank="1" showInputMessage="1" showErrorMessage="1" xr:uid="{57B159A3-ECA7-AE41-A8DD-FCE4DDD6F297}">
          <x14:formula1>
            <xm:f>'DATA - Variabelen &amp; waarden'!$D$147:$G$147</xm:f>
          </x14:formula1>
          <xm:sqref>O96:O97 O99</xm:sqref>
        </x14:dataValidation>
        <x14:dataValidation type="list" allowBlank="1" showInputMessage="1" showErrorMessage="1" xr:uid="{400A5558-04CA-D343-81C8-7B271CE50BCB}">
          <x14:formula1>
            <xm:f>'DATA - Variabelen &amp; waarden'!$B$179:$B$187</xm:f>
          </x14:formula1>
          <xm:sqref>H123</xm:sqref>
        </x14:dataValidation>
        <x14:dataValidation type="list" allowBlank="1" showInputMessage="1" showErrorMessage="1" xr:uid="{14A46312-F684-3543-86B3-466EDBB7D928}">
          <x14:formula1>
            <xm:f>'DATA - Variabelen &amp; waarden'!$D$161:$G$161</xm:f>
          </x14:formula1>
          <xm:sqref>I113 I115:I116</xm:sqref>
        </x14:dataValidation>
        <x14:dataValidation type="list" allowBlank="1" showInputMessage="1" showErrorMessage="1" xr:uid="{EE2D1B2E-5460-FB4E-8305-522753D973E8}">
          <x14:formula1>
            <xm:f>'DATA - Variabelen &amp; waarden'!$D$178:$G$178</xm:f>
          </x14:formula1>
          <xm:sqref>I123</xm:sqref>
        </x14:dataValidation>
        <x14:dataValidation type="list" allowBlank="1" showInputMessage="1" showErrorMessage="1" xr:uid="{987BDA9E-D113-9E41-91D5-7E702172D9BC}">
          <x14:formula1>
            <xm:f>'DATA - Variabelen &amp; waarden'!$D$200:$G$200</xm:f>
          </x14:formula1>
          <xm:sqref>I126</xm:sqref>
        </x14:dataValidation>
        <x14:dataValidation type="list" allowBlank="1" showInputMessage="1" showErrorMessage="1" xr:uid="{709B246B-FFBE-6248-829D-B06A75571391}">
          <x14:formula1>
            <xm:f>'DATA - Variabelen &amp; waarden'!$B$207:$B$212</xm:f>
          </x14:formula1>
          <xm:sqref>H140</xm:sqref>
        </x14:dataValidation>
        <x14:dataValidation type="list" allowBlank="1" showInputMessage="1" showErrorMessage="1" xr:uid="{8AB91A4D-A2F6-2041-96C2-B1ED4F0683F1}">
          <x14:formula1>
            <xm:f>'DATA - Variabelen &amp; waarden'!$D$206:$G$206</xm:f>
          </x14:formula1>
          <xm:sqref>I140</xm:sqref>
        </x14:dataValidation>
        <x14:dataValidation type="list" allowBlank="1" showInputMessage="1" showErrorMessage="1" xr:uid="{76DA5DA7-7EBC-8747-8084-8C0C934B7FC9}">
          <x14:formula1>
            <xm:f>'DATA - Variabelen &amp; waarden'!$D$222:$G$222</xm:f>
          </x14:formula1>
          <xm:sqref>I143</xm:sqref>
        </x14:dataValidation>
        <x14:dataValidation type="list" allowBlank="1" showInputMessage="1" showErrorMessage="1" xr:uid="{407F1351-0422-DA42-9C8C-227C4BD03804}">
          <x14:formula1>
            <xm:f>'DATA - Variabelen &amp; waarden'!$D$254:$G$254</xm:f>
          </x14:formula1>
          <xm:sqref>I148</xm:sqref>
        </x14:dataValidation>
        <x14:dataValidation type="list" allowBlank="1" showInputMessage="1" showErrorMessage="1" xr:uid="{B7504916-2A3F-0D47-AC2F-D01B41F925B7}">
          <x14:formula1>
            <xm:f>'DATA - Variabelen &amp; waarden'!$D$266:$G$266</xm:f>
          </x14:formula1>
          <xm:sqref>I150</xm:sqref>
        </x14:dataValidation>
        <x14:dataValidation type="list" allowBlank="1" showInputMessage="1" showErrorMessage="1" xr:uid="{B64724F2-0228-114A-8EE6-3F6837B2EBA8}">
          <x14:formula1>
            <xm:f>'DATA - Variabelen &amp; waarden'!$D$280:$G$280</xm:f>
          </x14:formula1>
          <xm:sqref>O168 I168 U168 AA168 AG168</xm:sqref>
        </x14:dataValidation>
        <x14:dataValidation type="list" allowBlank="1" showInputMessage="1" showErrorMessage="1" xr:uid="{7BC9183B-80D2-C149-A062-7D82AFA0D5AD}">
          <x14:formula1>
            <xm:f>'DATA - Variabelen &amp; waarden'!$D$388:$G$388</xm:f>
          </x14:formula1>
          <xm:sqref>C240:C244</xm:sqref>
        </x14:dataValidation>
        <x14:dataValidation type="list" allowBlank="1" showInputMessage="1" showErrorMessage="1" xr:uid="{DB1AB924-F9EA-954E-A654-FF3983870802}">
          <x14:formula1>
            <xm:f>'DATA - Variabelen &amp; waarden'!$B$409:$B$418</xm:f>
          </x14:formula1>
          <xm:sqref>N240:N244</xm:sqref>
        </x14:dataValidation>
        <x14:dataValidation type="list" allowBlank="1" showInputMessage="1" showErrorMessage="1" xr:uid="{AC61FFE3-2C60-6644-B4AB-DA255D0FAD35}">
          <x14:formula1>
            <xm:f>'DATA - Variabelen &amp; waarden'!$D$408:$G$408</xm:f>
          </x14:formula1>
          <xm:sqref>O240:O244</xm:sqref>
        </x14:dataValidation>
        <x14:dataValidation type="list" allowBlank="1" showInputMessage="1" showErrorMessage="1" xr:uid="{B48191C9-286D-5C47-980E-BD28A003A56E}">
          <x14:formula1>
            <xm:f>'DATA - Variabelen &amp; waarden'!$D$364:$G$364</xm:f>
          </x14:formula1>
          <xm:sqref>O210 O223 I210 I223 U210 U223 AA210 AA223 AG210 AG223</xm:sqref>
        </x14:dataValidation>
        <x14:dataValidation type="list" allowBlank="1" showInputMessage="1" showErrorMessage="1" xr:uid="{8CDBF3FA-3E73-0D4F-BE14-44DEA361B1DA}">
          <x14:formula1>
            <xm:f>'DATA - Variabelen &amp; waarden'!$D$347:$G$347</xm:f>
          </x14:formula1>
          <xm:sqref>O209 O222 I209 I222 U209 U222 AA209 AA222 AG209 AG222</xm:sqref>
        </x14:dataValidation>
        <x14:dataValidation type="list" allowBlank="1" showInputMessage="1" showErrorMessage="1" xr:uid="{AACCC508-41CA-5B4B-BD3D-698B68A2408D}">
          <x14:formula1>
            <xm:f>'DATA - Variabelen &amp; waarden'!$D$338:$G$338</xm:f>
          </x14:formula1>
          <xm:sqref>O132 O197 I197 U197 AA197 AG197</xm:sqref>
        </x14:dataValidation>
        <x14:dataValidation type="list" allowBlank="1" showInputMessage="1" showErrorMessage="1" xr:uid="{2992379F-58B4-A743-8331-39EA0B30BAAE}">
          <x14:formula1>
            <xm:f>'DATA - Variabelen &amp; waarden'!$D$329:$G$329</xm:f>
          </x14:formula1>
          <xm:sqref>O131 O196 I196 U196 AA196 AG196</xm:sqref>
        </x14:dataValidation>
        <x14:dataValidation type="list" allowBlank="1" showInputMessage="1" showErrorMessage="1" xr:uid="{F823FC86-E7A3-B044-B9B4-5EE7FA8734D3}">
          <x14:formula1>
            <xm:f>'DATA - Variabelen &amp; waarden'!$B$330:$B$336</xm:f>
          </x14:formula1>
          <xm:sqref>H196 N131 N196 T196 Z196 AF196</xm:sqref>
        </x14:dataValidation>
        <x14:dataValidation type="list" allowBlank="1" showInputMessage="1" showErrorMessage="1" xr:uid="{31CA844A-89AE-AC4F-A255-06785053F30A}">
          <x14:formula1>
            <xm:f>'DATA - Variabelen &amp; waarden'!$D$320:$G$320</xm:f>
          </x14:formula1>
          <xm:sqref>O193 O206 O123 O127 O219 O232 I193 I206 I219 I232 U193 U206 U219 U232 AA193 AA206 AA219 AA232 AG193 AG206 AG219 AG232</xm:sqref>
        </x14:dataValidation>
        <x14:dataValidation type="list" allowBlank="1" showInputMessage="1" showErrorMessage="1" xr:uid="{6BAE7D5D-7F2A-4248-B49F-119C827BF4FF}">
          <x14:formula1>
            <xm:f>'DATA - Variabelen &amp; waarden'!$B$321:$B$323</xm:f>
          </x14:formula1>
          <xm:sqref>N219 N232 H193 H206 H219 H232 N123 N127 N193 N206 T219 T232 T193 T206 Z219 Z232 Z193 Z206 AF219 AF232 AF193 AF206</xm:sqref>
        </x14:dataValidation>
        <x14:dataValidation type="list" allowBlank="1" showInputMessage="1" showErrorMessage="1" xr:uid="{0983483F-9A87-714E-BC25-4D83846B1E11}">
          <x14:formula1>
            <xm:f>'DATA - Variabelen &amp; waarden'!$B$281:$B$295</xm:f>
          </x14:formula1>
          <xm:sqref>N162 H162 T162 Z162 AF162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832C9-556B-9C4A-8016-FE1459D8C845}">
  <sheetPr>
    <tabColor theme="9"/>
  </sheetPr>
  <dimension ref="B1:AJ402"/>
  <sheetViews>
    <sheetView showGridLines="0" zoomScaleNormal="100" workbookViewId="0">
      <pane ySplit="2" topLeftCell="A62" activePane="bottomLeft" state="frozen"/>
      <selection pane="bottomLeft" activeCell="C386" sqref="C386"/>
    </sheetView>
  </sheetViews>
  <sheetFormatPr baseColWidth="10" defaultColWidth="11" defaultRowHeight="16" x14ac:dyDescent="0.2"/>
  <cols>
    <col min="1" max="1" width="3" customWidth="1"/>
    <col min="2" max="2" width="34.83203125" customWidth="1"/>
    <col min="3" max="3" width="13.33203125" customWidth="1"/>
    <col min="4" max="5" width="10.83203125" customWidth="1"/>
    <col min="6" max="6" width="11.5" bestFit="1" customWidth="1"/>
    <col min="7" max="7" width="3" customWidth="1"/>
    <col min="8" max="8" width="34.83203125" customWidth="1"/>
    <col min="9" max="9" width="13.33203125" customWidth="1"/>
    <col min="10" max="10" width="10.83203125" customWidth="1"/>
    <col min="11" max="11" width="10.83203125" style="3" customWidth="1"/>
    <col min="12" max="12" width="10.83203125" customWidth="1"/>
    <col min="13" max="13" width="3" customWidth="1"/>
    <col min="14" max="14" width="32.83203125" customWidth="1"/>
    <col min="15" max="15" width="13.33203125" customWidth="1"/>
    <col min="16" max="16" width="12.6640625" customWidth="1"/>
    <col min="17" max="17" width="13.33203125" customWidth="1"/>
    <col min="18" max="18" width="10.83203125" customWidth="1"/>
    <col min="19" max="19" width="3" customWidth="1"/>
    <col min="20" max="20" width="32.83203125" customWidth="1"/>
    <col min="21" max="21" width="13.33203125" customWidth="1"/>
    <col min="22" max="22" width="12.6640625" customWidth="1"/>
    <col min="23" max="23" width="13.33203125" customWidth="1"/>
    <col min="24" max="24" width="10.83203125" customWidth="1"/>
    <col min="25" max="25" width="3" customWidth="1"/>
    <col min="26" max="26" width="32.83203125" customWidth="1"/>
    <col min="27" max="27" width="13.33203125" customWidth="1"/>
    <col min="28" max="28" width="12.6640625" customWidth="1"/>
    <col min="29" max="29" width="13.33203125" customWidth="1"/>
    <col min="30" max="30" width="10.83203125" customWidth="1"/>
    <col min="31" max="31" width="3" customWidth="1"/>
    <col min="32" max="32" width="32.83203125" customWidth="1"/>
    <col min="33" max="33" width="13.33203125" customWidth="1"/>
    <col min="34" max="34" width="12.6640625" customWidth="1"/>
    <col min="35" max="35" width="13.33203125" customWidth="1"/>
    <col min="37" max="37" width="3" customWidth="1"/>
    <col min="38" max="38" width="32.83203125" customWidth="1"/>
    <col min="39" max="39" width="13.33203125" customWidth="1"/>
    <col min="40" max="40" width="12.6640625" customWidth="1"/>
    <col min="41" max="41" width="13.33203125" customWidth="1"/>
    <col min="42" max="42" width="10.83203125" customWidth="1"/>
    <col min="43" max="43" width="3" customWidth="1"/>
    <col min="44" max="44" width="13.33203125" customWidth="1"/>
    <col min="49" max="49" width="10.83203125" customWidth="1"/>
    <col min="50" max="50" width="3" customWidth="1"/>
    <col min="51" max="52" width="28.83203125" customWidth="1"/>
    <col min="53" max="53" width="13.33203125" customWidth="1"/>
  </cols>
  <sheetData>
    <row r="1" spans="2:36" x14ac:dyDescent="0.2">
      <c r="D1" s="99"/>
      <c r="K1"/>
    </row>
    <row r="2" spans="2:36" ht="19" x14ac:dyDescent="0.25">
      <c r="B2" s="95" t="s">
        <v>748</v>
      </c>
      <c r="C2" s="100"/>
      <c r="D2" s="101"/>
      <c r="E2" s="100"/>
      <c r="F2" s="100"/>
      <c r="G2" s="100"/>
      <c r="H2" s="102"/>
      <c r="I2" s="100"/>
      <c r="J2" s="100"/>
      <c r="K2" s="102"/>
      <c r="L2" s="100"/>
      <c r="M2" s="100"/>
      <c r="N2" s="102"/>
      <c r="O2" s="100"/>
      <c r="P2" s="100"/>
      <c r="Q2" s="100"/>
      <c r="R2" s="100"/>
      <c r="S2" s="100"/>
      <c r="T2" s="100"/>
      <c r="U2" s="100"/>
      <c r="V2" s="100"/>
      <c r="W2" s="100"/>
      <c r="X2" s="100"/>
      <c r="Y2" s="100"/>
      <c r="Z2" s="100"/>
      <c r="AA2" s="100"/>
      <c r="AB2" s="100"/>
      <c r="AC2" s="100"/>
      <c r="AD2" s="100"/>
      <c r="AE2" s="100"/>
      <c r="AF2" s="100"/>
      <c r="AG2" s="100"/>
      <c r="AH2" s="100"/>
      <c r="AI2" s="100"/>
      <c r="AJ2" s="100"/>
    </row>
    <row r="3" spans="2:36" x14ac:dyDescent="0.2">
      <c r="C3" s="28"/>
      <c r="D3" s="103"/>
      <c r="H3" s="4"/>
      <c r="K3" s="4"/>
      <c r="N3" s="4"/>
    </row>
    <row r="4" spans="2:36" ht="19" x14ac:dyDescent="0.25">
      <c r="B4" s="283" t="s">
        <v>19</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row>
    <row r="5" spans="2:36" x14ac:dyDescent="0.2">
      <c r="C5" s="28"/>
      <c r="D5" s="103"/>
      <c r="H5" s="4"/>
      <c r="K5" s="4"/>
      <c r="N5" s="4"/>
    </row>
    <row r="6" spans="2:36" s="106" customFormat="1" ht="17" x14ac:dyDescent="0.2">
      <c r="B6" s="105" t="s">
        <v>949</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spans="2:36" x14ac:dyDescent="0.2">
      <c r="C7" s="28"/>
      <c r="D7" s="103"/>
      <c r="H7" s="4"/>
      <c r="K7" s="4"/>
      <c r="N7" s="4"/>
    </row>
    <row r="8" spans="2:36" x14ac:dyDescent="0.2">
      <c r="B8" s="87" t="s">
        <v>959</v>
      </c>
      <c r="C8" s="173"/>
      <c r="D8" s="427"/>
      <c r="E8" s="173"/>
      <c r="F8" s="173"/>
      <c r="G8" s="173"/>
      <c r="H8" s="428"/>
      <c r="I8" s="173"/>
      <c r="J8" s="173"/>
      <c r="K8" s="428"/>
      <c r="L8" s="173"/>
      <c r="M8" s="173"/>
      <c r="N8" s="428"/>
      <c r="O8" s="173"/>
      <c r="P8" s="173"/>
      <c r="Q8" s="173"/>
      <c r="R8" s="85"/>
    </row>
    <row r="9" spans="2:36" x14ac:dyDescent="0.2">
      <c r="B9" s="189"/>
      <c r="C9" s="171"/>
      <c r="D9" s="429"/>
      <c r="E9" s="171"/>
      <c r="F9" s="171"/>
      <c r="G9" s="171"/>
      <c r="H9" s="66"/>
      <c r="I9" s="171"/>
      <c r="J9" s="171"/>
      <c r="K9" s="66"/>
      <c r="L9" s="171"/>
      <c r="M9" s="171"/>
      <c r="N9" s="66"/>
      <c r="O9" s="171"/>
      <c r="P9" s="171"/>
      <c r="Q9" s="171"/>
      <c r="R9" s="80"/>
    </row>
    <row r="10" spans="2:36" x14ac:dyDescent="0.2">
      <c r="B10" s="420" t="s">
        <v>788</v>
      </c>
      <c r="C10" s="171"/>
      <c r="D10" s="429"/>
      <c r="E10" s="171"/>
      <c r="F10" s="171"/>
      <c r="G10" s="171"/>
      <c r="H10" s="66"/>
      <c r="I10" s="171"/>
      <c r="J10" s="171"/>
      <c r="K10" s="66"/>
      <c r="L10" s="171"/>
      <c r="M10" s="171"/>
      <c r="N10" s="66"/>
      <c r="O10" s="171"/>
      <c r="P10" s="171"/>
      <c r="Q10" s="171"/>
      <c r="R10" s="80"/>
    </row>
    <row r="11" spans="2:36" x14ac:dyDescent="0.2">
      <c r="B11" s="79"/>
      <c r="C11" s="171"/>
      <c r="D11" s="429"/>
      <c r="E11" s="171"/>
      <c r="F11" s="171"/>
      <c r="G11" s="171"/>
      <c r="H11" s="66"/>
      <c r="I11" s="171"/>
      <c r="J11" s="171"/>
      <c r="K11" s="66"/>
      <c r="L11" s="171"/>
      <c r="M11" s="171"/>
      <c r="N11" s="66"/>
      <c r="O11" s="171"/>
      <c r="P11" s="171"/>
      <c r="Q11" s="171"/>
      <c r="R11" s="80"/>
    </row>
    <row r="12" spans="2:36" x14ac:dyDescent="0.2">
      <c r="B12" s="109" t="s">
        <v>771</v>
      </c>
      <c r="C12" s="57" t="s">
        <v>772</v>
      </c>
      <c r="D12" s="432" t="s">
        <v>770</v>
      </c>
      <c r="E12" s="171"/>
      <c r="F12" s="171"/>
      <c r="G12" s="171"/>
      <c r="H12" s="66"/>
      <c r="I12" s="171"/>
      <c r="J12" s="171"/>
      <c r="K12" s="66"/>
      <c r="L12" s="171"/>
      <c r="M12" s="171"/>
      <c r="N12" s="66"/>
      <c r="O12" s="171"/>
      <c r="P12" s="171"/>
      <c r="Q12" s="171"/>
      <c r="R12" s="80"/>
    </row>
    <row r="13" spans="2:36" ht="32" customHeight="1" x14ac:dyDescent="0.2">
      <c r="B13" s="434" t="s">
        <v>567</v>
      </c>
      <c r="C13" s="435" t="s">
        <v>673</v>
      </c>
      <c r="D13" s="501" t="s">
        <v>789</v>
      </c>
      <c r="E13" s="501"/>
      <c r="F13" s="501"/>
      <c r="G13" s="501"/>
      <c r="H13" s="501"/>
      <c r="I13" s="501"/>
      <c r="J13" s="501"/>
      <c r="K13" s="501"/>
      <c r="L13" s="501"/>
      <c r="M13" s="501"/>
      <c r="N13" s="501"/>
      <c r="O13" s="501"/>
      <c r="P13" s="501"/>
      <c r="Q13" s="501"/>
      <c r="R13" s="502"/>
    </row>
    <row r="14" spans="2:36" x14ac:dyDescent="0.2">
      <c r="B14" s="79" t="s">
        <v>773</v>
      </c>
      <c r="C14" s="104" t="s">
        <v>774</v>
      </c>
      <c r="D14" s="433" t="s">
        <v>775</v>
      </c>
      <c r="E14" s="171"/>
      <c r="F14" s="171"/>
      <c r="G14" s="171"/>
      <c r="H14" s="66"/>
      <c r="I14" s="171"/>
      <c r="J14" s="171"/>
      <c r="K14" s="66"/>
      <c r="L14" s="171"/>
      <c r="M14" s="171"/>
      <c r="N14" s="66"/>
      <c r="O14" s="171"/>
      <c r="P14" s="171"/>
      <c r="Q14" s="171"/>
      <c r="R14" s="80"/>
    </row>
    <row r="15" spans="2:36" x14ac:dyDescent="0.2">
      <c r="B15" s="79"/>
      <c r="C15" s="104"/>
      <c r="D15" s="433" t="s">
        <v>776</v>
      </c>
      <c r="E15" s="171"/>
      <c r="F15" s="171"/>
      <c r="G15" s="171"/>
      <c r="H15" s="66"/>
      <c r="I15" s="171"/>
      <c r="J15" s="171"/>
      <c r="K15" s="66"/>
      <c r="L15" s="171"/>
      <c r="M15" s="171"/>
      <c r="N15" s="66"/>
      <c r="O15" s="171"/>
      <c r="P15" s="171"/>
      <c r="Q15" s="171"/>
      <c r="R15" s="80"/>
    </row>
    <row r="16" spans="2:36" ht="32" customHeight="1" x14ac:dyDescent="0.2">
      <c r="B16" s="436" t="s">
        <v>790</v>
      </c>
      <c r="C16" s="435" t="s">
        <v>824</v>
      </c>
      <c r="D16" s="499" t="s">
        <v>795</v>
      </c>
      <c r="E16" s="499"/>
      <c r="F16" s="499"/>
      <c r="G16" s="499"/>
      <c r="H16" s="499"/>
      <c r="I16" s="499"/>
      <c r="J16" s="499"/>
      <c r="K16" s="499"/>
      <c r="L16" s="499"/>
      <c r="M16" s="499"/>
      <c r="N16" s="499"/>
      <c r="O16" s="499"/>
      <c r="P16" s="499"/>
      <c r="Q16" s="499"/>
      <c r="R16" s="500"/>
    </row>
    <row r="17" spans="2:36" x14ac:dyDescent="0.2">
      <c r="B17" s="79" t="s">
        <v>778</v>
      </c>
      <c r="C17" s="104" t="s">
        <v>777</v>
      </c>
      <c r="D17" s="433" t="s">
        <v>801</v>
      </c>
      <c r="E17" s="171"/>
      <c r="F17" s="171"/>
      <c r="G17" s="171"/>
      <c r="H17" s="66"/>
      <c r="I17" s="171"/>
      <c r="J17" s="171"/>
      <c r="K17" s="66"/>
      <c r="L17" s="171"/>
      <c r="M17" s="171"/>
      <c r="N17" s="66"/>
      <c r="O17" s="171"/>
      <c r="P17" s="171"/>
      <c r="Q17" s="171"/>
      <c r="R17" s="80"/>
    </row>
    <row r="18" spans="2:36" x14ac:dyDescent="0.2">
      <c r="B18" s="79" t="s">
        <v>784</v>
      </c>
      <c r="C18" s="104" t="s">
        <v>785</v>
      </c>
      <c r="D18" s="433" t="s">
        <v>786</v>
      </c>
      <c r="E18" s="171"/>
      <c r="F18" s="171"/>
      <c r="G18" s="171"/>
      <c r="H18" s="66"/>
      <c r="I18" s="171"/>
      <c r="J18" s="171"/>
      <c r="K18" s="66"/>
      <c r="L18" s="171"/>
      <c r="M18" s="171"/>
      <c r="N18" s="66"/>
      <c r="O18" s="171"/>
      <c r="P18" s="171"/>
      <c r="Q18" s="171"/>
      <c r="R18" s="80"/>
    </row>
    <row r="19" spans="2:36" x14ac:dyDescent="0.2">
      <c r="B19" s="79" t="s">
        <v>804</v>
      </c>
      <c r="C19" s="104" t="s">
        <v>805</v>
      </c>
      <c r="D19" s="433" t="s">
        <v>806</v>
      </c>
      <c r="E19" s="171"/>
      <c r="F19" s="171"/>
      <c r="G19" s="171"/>
      <c r="H19" s="66"/>
      <c r="I19" s="171"/>
      <c r="J19" s="171"/>
      <c r="K19" s="66"/>
      <c r="L19" s="171"/>
      <c r="M19" s="171"/>
      <c r="N19" s="66"/>
      <c r="O19" s="171"/>
      <c r="P19" s="171"/>
      <c r="Q19" s="171"/>
      <c r="R19" s="80"/>
    </row>
    <row r="20" spans="2:36" ht="32" customHeight="1" x14ac:dyDescent="0.2">
      <c r="B20" s="436" t="s">
        <v>779</v>
      </c>
      <c r="C20" s="435" t="s">
        <v>781</v>
      </c>
      <c r="D20" s="499" t="s">
        <v>782</v>
      </c>
      <c r="E20" s="499"/>
      <c r="F20" s="499"/>
      <c r="G20" s="499"/>
      <c r="H20" s="499"/>
      <c r="I20" s="499"/>
      <c r="J20" s="499"/>
      <c r="K20" s="499"/>
      <c r="L20" s="499"/>
      <c r="M20" s="499"/>
      <c r="N20" s="499"/>
      <c r="O20" s="499"/>
      <c r="P20" s="499"/>
      <c r="Q20" s="499"/>
      <c r="R20" s="500"/>
    </row>
    <row r="21" spans="2:36" x14ac:dyDescent="0.2">
      <c r="B21" s="79" t="s">
        <v>780</v>
      </c>
      <c r="C21" s="104" t="s">
        <v>63</v>
      </c>
      <c r="D21" s="433" t="s">
        <v>783</v>
      </c>
      <c r="E21" s="171"/>
      <c r="F21" s="171"/>
      <c r="G21" s="171"/>
      <c r="H21" s="66"/>
      <c r="I21" s="171"/>
      <c r="J21" s="171"/>
      <c r="K21" s="66"/>
      <c r="L21" s="171"/>
      <c r="M21" s="171"/>
      <c r="N21" s="66"/>
      <c r="O21" s="171"/>
      <c r="P21" s="171"/>
      <c r="Q21" s="171"/>
      <c r="R21" s="80"/>
    </row>
    <row r="22" spans="2:36" ht="32" customHeight="1" x14ac:dyDescent="0.2">
      <c r="B22" s="436" t="s">
        <v>826</v>
      </c>
      <c r="C22" s="435" t="s">
        <v>827</v>
      </c>
      <c r="D22" s="499" t="s">
        <v>828</v>
      </c>
      <c r="E22" s="499"/>
      <c r="F22" s="499"/>
      <c r="G22" s="499"/>
      <c r="H22" s="499"/>
      <c r="I22" s="499"/>
      <c r="J22" s="499"/>
      <c r="K22" s="499"/>
      <c r="L22" s="499"/>
      <c r="M22" s="499"/>
      <c r="N22" s="499"/>
      <c r="O22" s="499"/>
      <c r="P22" s="499"/>
      <c r="Q22" s="499"/>
      <c r="R22" s="500"/>
    </row>
    <row r="23" spans="2:36" x14ac:dyDescent="0.2">
      <c r="B23" s="79" t="s">
        <v>808</v>
      </c>
      <c r="C23" s="104" t="s">
        <v>809</v>
      </c>
      <c r="D23" s="433" t="s">
        <v>810</v>
      </c>
      <c r="E23" s="171"/>
      <c r="F23" s="171"/>
      <c r="G23" s="171"/>
      <c r="H23" s="171"/>
      <c r="I23" s="171"/>
      <c r="J23" s="171"/>
      <c r="K23" s="56"/>
      <c r="L23" s="171"/>
      <c r="M23" s="171"/>
      <c r="N23" s="171"/>
      <c r="O23" s="171"/>
      <c r="P23" s="171"/>
      <c r="Q23" s="171"/>
      <c r="R23" s="80"/>
    </row>
    <row r="24" spans="2:36" ht="32" customHeight="1" x14ac:dyDescent="0.2">
      <c r="B24" s="436" t="s">
        <v>814</v>
      </c>
      <c r="C24" s="435" t="s">
        <v>815</v>
      </c>
      <c r="D24" s="499" t="s">
        <v>816</v>
      </c>
      <c r="E24" s="499"/>
      <c r="F24" s="499"/>
      <c r="G24" s="499"/>
      <c r="H24" s="499"/>
      <c r="I24" s="499"/>
      <c r="J24" s="499"/>
      <c r="K24" s="499"/>
      <c r="L24" s="499"/>
      <c r="M24" s="499"/>
      <c r="N24" s="499"/>
      <c r="O24" s="499"/>
      <c r="P24" s="499"/>
      <c r="Q24" s="499"/>
      <c r="R24" s="500"/>
    </row>
    <row r="25" spans="2:36" x14ac:dyDescent="0.2">
      <c r="B25" s="79" t="s">
        <v>2</v>
      </c>
      <c r="C25" s="104" t="s">
        <v>167</v>
      </c>
      <c r="D25" s="433" t="s">
        <v>817</v>
      </c>
      <c r="E25" s="171"/>
      <c r="F25" s="171"/>
      <c r="G25" s="171"/>
      <c r="H25" s="66"/>
      <c r="I25" s="171"/>
      <c r="J25" s="171"/>
      <c r="K25" s="66"/>
      <c r="L25" s="171"/>
      <c r="M25" s="171"/>
      <c r="N25" s="66"/>
      <c r="O25" s="171"/>
      <c r="P25" s="171"/>
      <c r="Q25" s="171"/>
      <c r="R25" s="80"/>
    </row>
    <row r="26" spans="2:36" ht="32" customHeight="1" x14ac:dyDescent="0.2">
      <c r="B26" s="436" t="s">
        <v>170</v>
      </c>
      <c r="C26" s="435" t="s">
        <v>818</v>
      </c>
      <c r="D26" s="499" t="s">
        <v>819</v>
      </c>
      <c r="E26" s="499"/>
      <c r="F26" s="499"/>
      <c r="G26" s="499"/>
      <c r="H26" s="499"/>
      <c r="I26" s="499"/>
      <c r="J26" s="499"/>
      <c r="K26" s="499"/>
      <c r="L26" s="499"/>
      <c r="M26" s="499"/>
      <c r="N26" s="499"/>
      <c r="O26" s="499"/>
      <c r="P26" s="499"/>
      <c r="Q26" s="499"/>
      <c r="R26" s="500"/>
    </row>
    <row r="27" spans="2:36" x14ac:dyDescent="0.2">
      <c r="B27" s="79" t="s">
        <v>811</v>
      </c>
      <c r="C27" s="104" t="s">
        <v>812</v>
      </c>
      <c r="D27" s="433" t="s">
        <v>813</v>
      </c>
      <c r="E27" s="171"/>
      <c r="F27" s="171"/>
      <c r="G27" s="171"/>
      <c r="H27" s="66"/>
      <c r="I27" s="171"/>
      <c r="J27" s="171"/>
      <c r="K27" s="66"/>
      <c r="L27" s="171"/>
      <c r="M27" s="171"/>
      <c r="N27" s="66"/>
      <c r="O27" s="171"/>
      <c r="P27" s="171"/>
      <c r="Q27" s="171"/>
      <c r="R27" s="80"/>
    </row>
    <row r="28" spans="2:36" ht="32" customHeight="1" x14ac:dyDescent="0.2">
      <c r="B28" s="436" t="s">
        <v>155</v>
      </c>
      <c r="C28" s="435" t="s">
        <v>787</v>
      </c>
      <c r="D28" s="499" t="s">
        <v>820</v>
      </c>
      <c r="E28" s="499"/>
      <c r="F28" s="499"/>
      <c r="G28" s="499"/>
      <c r="H28" s="499"/>
      <c r="I28" s="499"/>
      <c r="J28" s="499"/>
      <c r="K28" s="499"/>
      <c r="L28" s="499"/>
      <c r="M28" s="499"/>
      <c r="N28" s="499"/>
      <c r="O28" s="499"/>
      <c r="P28" s="499"/>
      <c r="Q28" s="499"/>
      <c r="R28" s="500"/>
    </row>
    <row r="29" spans="2:36" x14ac:dyDescent="0.2">
      <c r="B29" s="79" t="s">
        <v>822</v>
      </c>
      <c r="C29" s="104" t="s">
        <v>823</v>
      </c>
      <c r="D29" s="433" t="s">
        <v>825</v>
      </c>
      <c r="E29" s="171"/>
      <c r="F29" s="171"/>
      <c r="G29" s="171"/>
      <c r="H29" s="66"/>
      <c r="I29" s="171"/>
      <c r="J29" s="171"/>
      <c r="K29" s="66"/>
      <c r="L29" s="171"/>
      <c r="M29" s="171"/>
      <c r="N29" s="66"/>
      <c r="O29" s="171"/>
      <c r="P29" s="171"/>
      <c r="Q29" s="171"/>
      <c r="R29" s="80"/>
    </row>
    <row r="30" spans="2:36" x14ac:dyDescent="0.2">
      <c r="B30" s="81"/>
      <c r="C30" s="172"/>
      <c r="D30" s="430"/>
      <c r="E30" s="172"/>
      <c r="F30" s="172"/>
      <c r="G30" s="172"/>
      <c r="H30" s="431"/>
      <c r="I30" s="172"/>
      <c r="J30" s="172"/>
      <c r="K30" s="431"/>
      <c r="L30" s="172"/>
      <c r="M30" s="172"/>
      <c r="N30" s="431"/>
      <c r="O30" s="172"/>
      <c r="P30" s="172"/>
      <c r="Q30" s="172"/>
      <c r="R30" s="82"/>
    </row>
    <row r="31" spans="2:36" x14ac:dyDescent="0.2">
      <c r="C31" s="28"/>
      <c r="D31" s="103"/>
      <c r="H31" s="4"/>
      <c r="K31" s="4"/>
      <c r="N31" s="4"/>
    </row>
    <row r="32" spans="2:36" s="106" customFormat="1" ht="17" x14ac:dyDescent="0.2">
      <c r="B32" s="105" t="s">
        <v>0</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row>
    <row r="34" spans="2:20" x14ac:dyDescent="0.2">
      <c r="B34" s="87" t="s">
        <v>20</v>
      </c>
      <c r="C34" s="173"/>
      <c r="D34" s="173"/>
      <c r="E34" s="173"/>
      <c r="F34" s="85"/>
      <c r="H34" s="87" t="s">
        <v>581</v>
      </c>
      <c r="I34" s="173"/>
      <c r="J34" s="173"/>
      <c r="K34" s="124"/>
      <c r="L34" s="85"/>
      <c r="T34" s="28"/>
    </row>
    <row r="35" spans="2:20" x14ac:dyDescent="0.2">
      <c r="B35" s="79"/>
      <c r="C35" s="171"/>
      <c r="D35" s="171"/>
      <c r="E35" s="171"/>
      <c r="F35" s="80"/>
      <c r="H35" s="125"/>
      <c r="I35" s="171"/>
      <c r="J35" s="171"/>
      <c r="K35" s="56"/>
      <c r="L35" s="80"/>
      <c r="T35" s="28"/>
    </row>
    <row r="36" spans="2:20" ht="17" thickBot="1" x14ac:dyDescent="0.25">
      <c r="B36" s="109" t="s">
        <v>21</v>
      </c>
      <c r="C36" s="171"/>
      <c r="D36" s="171"/>
      <c r="E36" s="171"/>
      <c r="F36" s="80"/>
      <c r="H36" s="109" t="s">
        <v>23</v>
      </c>
      <c r="I36" s="171"/>
      <c r="J36" s="171"/>
      <c r="K36" s="171"/>
      <c r="L36" s="80"/>
    </row>
    <row r="37" spans="2:20" ht="18" thickTop="1" thickBot="1" x14ac:dyDescent="0.25">
      <c r="B37" s="89" t="s">
        <v>792</v>
      </c>
      <c r="C37" s="171"/>
      <c r="D37" s="171"/>
      <c r="E37" s="171"/>
      <c r="F37" s="80"/>
      <c r="H37" s="79" t="s">
        <v>27</v>
      </c>
      <c r="I37" s="171"/>
      <c r="J37" s="171" t="s">
        <v>28</v>
      </c>
      <c r="K37" s="171"/>
      <c r="L37" s="80"/>
    </row>
    <row r="38" spans="2:20" ht="18" thickTop="1" thickBot="1" x14ac:dyDescent="0.25">
      <c r="B38" s="79"/>
      <c r="C38" s="171"/>
      <c r="D38" s="171"/>
      <c r="E38" s="171"/>
      <c r="F38" s="80"/>
      <c r="H38" s="89" t="s">
        <v>31</v>
      </c>
      <c r="I38" s="171"/>
      <c r="J38" s="62">
        <v>60</v>
      </c>
      <c r="K38" s="171" t="s">
        <v>32</v>
      </c>
      <c r="L38" s="80"/>
    </row>
    <row r="39" spans="2:20" ht="17" thickTop="1" x14ac:dyDescent="0.2">
      <c r="B39" s="109" t="s">
        <v>24</v>
      </c>
      <c r="C39" s="90" t="s">
        <v>25</v>
      </c>
      <c r="D39" s="92" t="s">
        <v>26</v>
      </c>
      <c r="E39" s="171"/>
      <c r="F39" s="80"/>
      <c r="H39" s="79"/>
      <c r="I39" s="90" t="s">
        <v>25</v>
      </c>
      <c r="J39" s="92" t="s">
        <v>26</v>
      </c>
      <c r="K39" s="171"/>
      <c r="L39" s="80"/>
    </row>
    <row r="40" spans="2:20" x14ac:dyDescent="0.2">
      <c r="B40" s="357" t="s">
        <v>29</v>
      </c>
      <c r="C40" s="55">
        <f>_xlfn.XLOOKUP(B37,'DATA - Variabelen &amp; waarden'!B6:B20,'DATA - Variabelen &amp; waarden'!E6:E20)</f>
        <v>50</v>
      </c>
      <c r="D40" s="62"/>
      <c r="E40" s="171">
        <f>IF(ISBLANK(D40),C40,D40)</f>
        <v>50</v>
      </c>
      <c r="F40" s="80" t="s">
        <v>30</v>
      </c>
      <c r="H40" s="187" t="s">
        <v>37</v>
      </c>
      <c r="I40" s="313" cm="1">
        <f t="array" ref="I40">(_xlfn.XLOOKUP($H$38,CO2Calculation[[#All],[CO2 emissie per hectare - formules]],CO2Calculation[[#All],[Richtingscoëfficiënt]])*($J$38/100))+_xlfn.XLOOKUP($H$38,CO2Calculation[[#All],[CO2 emissie per hectare - formules]],CO2Calculation[[#All],[Start]])</f>
        <v>4.8580000000000005</v>
      </c>
      <c r="J40" s="62"/>
      <c r="K40" s="315">
        <f>IF(I40&lt;=0,0,IF(ISBLANK(J40),I40,J40))</f>
        <v>4.8580000000000005</v>
      </c>
      <c r="L40" s="80" t="s">
        <v>36</v>
      </c>
    </row>
    <row r="41" spans="2:20" ht="19" x14ac:dyDescent="0.35">
      <c r="B41" s="79" t="s">
        <v>33</v>
      </c>
      <c r="C41" s="171"/>
      <c r="D41" s="62">
        <v>50</v>
      </c>
      <c r="E41" s="171">
        <f>D41</f>
        <v>50</v>
      </c>
      <c r="F41" s="80" t="s">
        <v>34</v>
      </c>
      <c r="H41" s="187" t="s">
        <v>40</v>
      </c>
      <c r="I41" s="313" cm="1">
        <f t="array" ref="I41">(_xlfn.XLOOKUP(H38,NO2Calculation[[#All],[NO2 emissie per hectare - formules]],NO2Calculation[[#All],[Richtingscoëfficiënt]])*((J38/100)^2))+(_xlfn.XLOOKUP(H38,NO2Calculation[[#All],[NO2 emissie per hectare - formules]],NO2Calculation[[#All],[Verschuiving]])*(J38/100))+_xlfn.XLOOKUP(H38,NO2Calculation[[#All],[NO2 emissie per hectare - formules]],NO2Calculation[[#All],[Start]])</f>
        <v>1.4548000000000003</v>
      </c>
      <c r="J41" s="62"/>
      <c r="K41" s="317">
        <f>IF(I41&lt;=0,0,IF(ISBLANK(J41),I41,J41))</f>
        <v>1.4548000000000003</v>
      </c>
      <c r="L41" s="80" t="s">
        <v>36</v>
      </c>
    </row>
    <row r="42" spans="2:20" x14ac:dyDescent="0.2">
      <c r="B42" s="79"/>
      <c r="C42" s="171"/>
      <c r="D42" s="171"/>
      <c r="E42" s="171"/>
      <c r="F42" s="80"/>
      <c r="H42" s="79"/>
      <c r="I42" s="171"/>
      <c r="J42" s="316" t="s">
        <v>42</v>
      </c>
      <c r="K42" s="315">
        <f>SUM(K40:K41)</f>
        <v>6.3128000000000011</v>
      </c>
      <c r="L42" s="80" t="s">
        <v>36</v>
      </c>
      <c r="M42" s="28"/>
    </row>
    <row r="43" spans="2:20" ht="17" thickBot="1" x14ac:dyDescent="0.25">
      <c r="B43" s="109" t="s">
        <v>567</v>
      </c>
      <c r="C43" s="171"/>
      <c r="D43" s="171"/>
      <c r="E43" s="171"/>
      <c r="F43" s="80"/>
      <c r="H43" s="109" t="s">
        <v>43</v>
      </c>
      <c r="I43" s="171"/>
      <c r="J43" s="171"/>
      <c r="K43" s="171"/>
      <c r="L43" s="80"/>
      <c r="M43" s="28"/>
    </row>
    <row r="44" spans="2:20" ht="18" thickTop="1" thickBot="1" x14ac:dyDescent="0.25">
      <c r="B44" s="79" t="s">
        <v>198</v>
      </c>
      <c r="C44" s="69" t="s">
        <v>673</v>
      </c>
      <c r="D44" s="171"/>
      <c r="E44" s="339">
        <f>IF(C44="Berekend",K51,E50)</f>
        <v>15</v>
      </c>
      <c r="F44" s="80" t="s">
        <v>36</v>
      </c>
      <c r="H44" s="79" t="s">
        <v>27</v>
      </c>
      <c r="I44" s="171"/>
      <c r="J44" s="171" t="s">
        <v>28</v>
      </c>
      <c r="K44" s="171"/>
      <c r="L44" s="80"/>
      <c r="M44" s="28"/>
    </row>
    <row r="45" spans="2:20" ht="18" thickTop="1" thickBot="1" x14ac:dyDescent="0.25">
      <c r="B45" s="79" t="s">
        <v>576</v>
      </c>
      <c r="C45" s="171"/>
      <c r="D45" s="171"/>
      <c r="E45" s="339">
        <f>E44*E40</f>
        <v>750</v>
      </c>
      <c r="F45" s="80" t="s">
        <v>41</v>
      </c>
      <c r="H45" s="89" t="s">
        <v>31</v>
      </c>
      <c r="I45" s="171"/>
      <c r="J45" s="62">
        <v>-3</v>
      </c>
      <c r="K45" s="171" t="s">
        <v>32</v>
      </c>
      <c r="L45" s="80"/>
      <c r="M45" s="28"/>
    </row>
    <row r="46" spans="2:20" ht="17" thickTop="1" x14ac:dyDescent="0.2">
      <c r="B46" s="79"/>
      <c r="C46" s="171"/>
      <c r="D46" s="171"/>
      <c r="E46" s="171"/>
      <c r="F46" s="80"/>
      <c r="H46" s="79"/>
      <c r="I46" s="90" t="s">
        <v>25</v>
      </c>
      <c r="J46" s="92" t="s">
        <v>26</v>
      </c>
      <c r="K46" s="171"/>
      <c r="L46" s="80"/>
      <c r="M46" s="28"/>
    </row>
    <row r="47" spans="2:20" x14ac:dyDescent="0.2">
      <c r="B47" s="359" t="s">
        <v>568</v>
      </c>
      <c r="C47" s="336" t="s">
        <v>25</v>
      </c>
      <c r="D47" s="337" t="s">
        <v>26</v>
      </c>
      <c r="E47" s="341"/>
      <c r="F47" s="342"/>
      <c r="H47" s="187" t="s">
        <v>37</v>
      </c>
      <c r="I47" s="313" cm="1">
        <f t="array" ref="I47">(_xlfn.XLOOKUP($H$45,CO2Calculation[[#All],[CO2 emissie per hectare - formules]],CO2Calculation[[#All],[Richtingscoëfficiënt]])*($J$45/100))+_xlfn.XLOOKUP($H$45,CO2Calculation[[#All],[CO2 emissie per hectare - formules]],CO2Calculation[[#All],[Start]])</f>
        <v>2.4451000000000001</v>
      </c>
      <c r="J47" s="62"/>
      <c r="K47" s="315">
        <f>IF(I47&lt;=0,0,IF(ISBLANK(J47),I47,J47))</f>
        <v>2.4451000000000001</v>
      </c>
      <c r="L47" s="80" t="s">
        <v>36</v>
      </c>
      <c r="M47" s="28"/>
    </row>
    <row r="48" spans="2:20" ht="19" x14ac:dyDescent="0.35">
      <c r="B48" s="340" t="s">
        <v>35</v>
      </c>
      <c r="C48" s="55">
        <f>_xlfn.XLOOKUP($B$37,'DATA - Variabelen &amp; waarden'!B22:B36,'DATA - Variabelen &amp; waarden'!E22:E36,"Selecteer Regio")</f>
        <v>30</v>
      </c>
      <c r="D48" s="62"/>
      <c r="E48" s="339">
        <f>IF(ISBLANK(D48),C48,D48)</f>
        <v>30</v>
      </c>
      <c r="F48" s="342" t="s">
        <v>36</v>
      </c>
      <c r="H48" s="187" t="s">
        <v>40</v>
      </c>
      <c r="I48" s="313" cm="1">
        <f t="array" ref="I48">(_xlfn.XLOOKUP(H45,NO2Calculation[[#All],[NO2 emissie per hectare - formules]],NO2Calculation[[#All],[Richtingscoëfficiënt]])*((J45/100)^2))+(_xlfn.XLOOKUP(H45,NO2Calculation[[#All],[NO2 emissie per hectare - formules]],NO2Calculation[[#All],[Verschuiving]])*(J45/100))+_xlfn.XLOOKUP(H45,NO2Calculation[[#All],[NO2 emissie per hectare - formules]],NO2Calculation[[#All],[Start]])</f>
        <v>0.21773200000000004</v>
      </c>
      <c r="J48" s="62"/>
      <c r="K48" s="317">
        <f>IF(I48&lt;=0,0,IF(ISBLANK(J48),I48,J48))</f>
        <v>0.21773200000000004</v>
      </c>
      <c r="L48" s="80" t="s">
        <v>36</v>
      </c>
      <c r="M48" s="28"/>
    </row>
    <row r="49" spans="2:36" x14ac:dyDescent="0.2">
      <c r="B49" s="415" t="s">
        <v>38</v>
      </c>
      <c r="C49" s="55">
        <f>_xlfn.XLOOKUP(B37,'DATA - Variabelen &amp; waarden'!B22:B36,'DATA - Variabelen &amp; waarden'!F22:F36,"Selecteer Regio")</f>
        <v>15</v>
      </c>
      <c r="D49" s="62"/>
      <c r="E49" s="339">
        <f>IF(ISBLANK(D49),C49,D49)</f>
        <v>15</v>
      </c>
      <c r="F49" s="342" t="s">
        <v>36</v>
      </c>
      <c r="H49" s="79"/>
      <c r="I49" s="171"/>
      <c r="J49" s="316" t="s">
        <v>42</v>
      </c>
      <c r="K49" s="315">
        <f>SUM(K47:K48)</f>
        <v>2.6628319999999999</v>
      </c>
      <c r="L49" s="80" t="s">
        <v>36</v>
      </c>
      <c r="M49" s="28"/>
    </row>
    <row r="50" spans="2:36" x14ac:dyDescent="0.2">
      <c r="B50" s="79" t="s">
        <v>39</v>
      </c>
      <c r="C50" s="341"/>
      <c r="D50" s="341"/>
      <c r="E50" s="339">
        <f>E48-E49</f>
        <v>15</v>
      </c>
      <c r="F50" s="342" t="s">
        <v>36</v>
      </c>
      <c r="H50" s="79"/>
      <c r="I50" s="171"/>
      <c r="J50" s="171"/>
      <c r="K50" s="56"/>
      <c r="L50" s="80"/>
      <c r="M50" s="28"/>
      <c r="W50" s="3"/>
    </row>
    <row r="51" spans="2:36" x14ac:dyDescent="0.2">
      <c r="B51" s="340"/>
      <c r="C51" s="341"/>
      <c r="D51" s="338"/>
      <c r="E51" s="267"/>
      <c r="F51" s="80"/>
      <c r="H51" s="79" t="s">
        <v>39</v>
      </c>
      <c r="I51" s="171"/>
      <c r="J51" s="318"/>
      <c r="K51" s="68">
        <f>K42-K49</f>
        <v>3.6499680000000012</v>
      </c>
      <c r="L51" s="80" t="s">
        <v>36</v>
      </c>
      <c r="M51" s="28"/>
      <c r="W51" s="3"/>
    </row>
    <row r="52" spans="2:36" x14ac:dyDescent="0.2">
      <c r="B52" s="81"/>
      <c r="C52" s="172"/>
      <c r="D52" s="172"/>
      <c r="E52" s="172"/>
      <c r="F52" s="82"/>
      <c r="H52" s="81"/>
      <c r="I52" s="172"/>
      <c r="J52" s="172"/>
      <c r="K52" s="193"/>
      <c r="L52" s="82"/>
      <c r="T52" s="28"/>
      <c r="W52" s="3"/>
    </row>
    <row r="53" spans="2:36" s="28" customFormat="1" x14ac:dyDescent="0.2">
      <c r="B53" s="38"/>
      <c r="C53" s="38"/>
      <c r="D53" s="38"/>
      <c r="E53" s="38"/>
      <c r="F53" s="38"/>
      <c r="K53" s="175"/>
    </row>
    <row r="54" spans="2:36" s="106" customFormat="1" ht="17" x14ac:dyDescent="0.2">
      <c r="B54" s="105" t="s">
        <v>3</v>
      </c>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row>
    <row r="56" spans="2:36" x14ac:dyDescent="0.2">
      <c r="B56" s="58" t="s">
        <v>797</v>
      </c>
      <c r="C56" s="150"/>
      <c r="D56" s="150"/>
      <c r="E56" s="150"/>
      <c r="F56" s="59"/>
      <c r="H56" s="87" t="s">
        <v>44</v>
      </c>
      <c r="I56" s="173"/>
      <c r="J56" s="173"/>
      <c r="K56" s="183"/>
      <c r="L56" s="85"/>
      <c r="N56" s="87" t="s">
        <v>45</v>
      </c>
      <c r="O56" s="173"/>
      <c r="P56" s="173"/>
      <c r="Q56" s="173"/>
      <c r="R56" s="85"/>
    </row>
    <row r="57" spans="2:36" x14ac:dyDescent="0.2">
      <c r="B57" s="79"/>
      <c r="C57" s="171"/>
      <c r="D57" s="171"/>
      <c r="E57" s="171"/>
      <c r="F57" s="80"/>
      <c r="H57" s="125"/>
      <c r="I57" s="171"/>
      <c r="J57" s="171"/>
      <c r="K57" s="104"/>
      <c r="L57" s="80"/>
      <c r="N57" s="125"/>
      <c r="O57" s="171"/>
      <c r="P57" s="171"/>
      <c r="Q57" s="171"/>
      <c r="R57" s="80"/>
    </row>
    <row r="58" spans="2:36" ht="17" thickBot="1" x14ac:dyDescent="0.25">
      <c r="B58" s="416" t="s">
        <v>796</v>
      </c>
      <c r="C58" s="503" t="s">
        <v>46</v>
      </c>
      <c r="D58" s="503"/>
      <c r="E58" s="503" t="s">
        <v>47</v>
      </c>
      <c r="F58" s="505"/>
      <c r="H58" s="343" t="s">
        <v>1</v>
      </c>
      <c r="I58" s="90" t="s">
        <v>25</v>
      </c>
      <c r="J58" s="92" t="s">
        <v>26</v>
      </c>
      <c r="K58" s="56"/>
      <c r="L58" s="80"/>
      <c r="N58" s="343" t="str" cm="1">
        <f t="array" ref="N58:N74">CultCost01[[#All],[Gewasverzorging]]</f>
        <v>Gewasverzorging</v>
      </c>
      <c r="O58" s="90" t="s">
        <v>25</v>
      </c>
      <c r="P58" s="92" t="s">
        <v>26</v>
      </c>
      <c r="Q58" s="65">
        <f>SUM(Q59:Q63,Q66,Q71,Q74)</f>
        <v>1290</v>
      </c>
      <c r="R58" s="184" t="s">
        <v>48</v>
      </c>
    </row>
    <row r="59" spans="2:36" ht="18" thickTop="1" thickBot="1" x14ac:dyDescent="0.25">
      <c r="B59" s="60" t="str">
        <f>H58</f>
        <v>Jaarlijks grondgebruik</v>
      </c>
      <c r="C59" s="55">
        <f>K59</f>
        <v>714</v>
      </c>
      <c r="D59" s="171" t="s">
        <v>48</v>
      </c>
      <c r="E59" s="55">
        <f t="shared" ref="E59:E64" si="0">C59*$E$40</f>
        <v>35700</v>
      </c>
      <c r="F59" s="61" t="s">
        <v>49</v>
      </c>
      <c r="H59" s="89" t="s">
        <v>50</v>
      </c>
      <c r="I59" s="56">
        <f>IF(H59=H61,K62,SUM(K70,K71))</f>
        <v>714</v>
      </c>
      <c r="J59" s="213"/>
      <c r="K59" s="54">
        <f>IF(ISBLANK(J59),I59,J59)</f>
        <v>714</v>
      </c>
      <c r="L59" s="184" t="s">
        <v>48</v>
      </c>
      <c r="N59" s="189" t="str">
        <v>Meststoffen</v>
      </c>
      <c r="O59" s="69" t="s">
        <v>51</v>
      </c>
      <c r="P59" s="62"/>
      <c r="Q59" s="176" cm="1">
        <f t="array" ref="Q59">IF(ISBLANK(P59),INDEX(CultCost01[[#All],[Geen]:[Waarde MIN]],_xlfn.XMATCH('SCENARIO 3 - Slechtste geval'!N59,CultCost01[[#All],[Gewasverzorging]]),_xlfn.XMATCH('SCENARIO 3 - Slechtste geval'!O59,CultCost01[[#Headers],[Geen]:[Waarde MIN]])),P59)</f>
        <v>100</v>
      </c>
      <c r="R59" s="190" t="s">
        <v>48</v>
      </c>
    </row>
    <row r="60" spans="2:36" ht="18" thickTop="1" thickBot="1" x14ac:dyDescent="0.25">
      <c r="B60" s="60" t="str">
        <f>N58</f>
        <v>Gewasverzorging</v>
      </c>
      <c r="C60" s="55">
        <f>Q58</f>
        <v>1290</v>
      </c>
      <c r="D60" s="171" t="s">
        <v>48</v>
      </c>
      <c r="E60" s="55">
        <f t="shared" si="0"/>
        <v>64500</v>
      </c>
      <c r="F60" s="61" t="s">
        <v>49</v>
      </c>
      <c r="H60" s="79"/>
      <c r="I60" s="171"/>
      <c r="J60" s="171"/>
      <c r="K60" s="56"/>
      <c r="L60" s="80"/>
      <c r="N60" s="189" t="str">
        <v>Gewasbeschermingsmiddelen</v>
      </c>
      <c r="O60" s="69" t="s">
        <v>63</v>
      </c>
      <c r="P60" s="62"/>
      <c r="Q60" s="176" cm="1">
        <f t="array" ref="Q60">IF(ISBLANK(P60),INDEX(CultCost01[[#All],[Geen]:[Waarde MIN]],_xlfn.XMATCH('SCENARIO 3 - Slechtste geval'!N60,CultCost01[[#All],[Gewasverzorging]]),_xlfn.XMATCH('SCENARIO 3 - Slechtste geval'!O60,CultCost01[[#Headers],[Geen]:[Waarde MIN]])),P60)</f>
        <v>0</v>
      </c>
      <c r="R60" s="190" t="s">
        <v>48</v>
      </c>
    </row>
    <row r="61" spans="2:36" ht="18" thickTop="1" thickBot="1" x14ac:dyDescent="0.25">
      <c r="B61" s="60" t="str">
        <f>N76</f>
        <v>Energieverbruik en water</v>
      </c>
      <c r="C61" s="55">
        <f>Q76</f>
        <v>175</v>
      </c>
      <c r="D61" s="171" t="s">
        <v>48</v>
      </c>
      <c r="E61" s="55">
        <f t="shared" si="0"/>
        <v>8750</v>
      </c>
      <c r="F61" s="61" t="s">
        <v>49</v>
      </c>
      <c r="H61" s="251" t="str">
        <f>'DATA - Variabelen &amp; waarden'!B54</f>
        <v xml:space="preserve">Pacht </v>
      </c>
      <c r="I61" s="171"/>
      <c r="J61" s="171"/>
      <c r="K61" s="56"/>
      <c r="L61" s="80"/>
      <c r="N61" s="187" t="str">
        <v>Ongediertebestrijding - uren</v>
      </c>
      <c r="O61" s="69" t="s">
        <v>52</v>
      </c>
      <c r="P61" s="62"/>
      <c r="Q61" s="360" cm="1">
        <f t="array" ref="Q61">IF(ISBLANK(P61),INDEX(CultCost01[[#All],[Geen]:[Waarde MIN]],_xlfn.XMATCH('SCENARIO 3 - Slechtste geval'!N61,CultCost01[[#All],[Gewasverzorging]]),_xlfn.XMATCH('SCENARIO 3 - Slechtste geval'!O61,CultCost01[[#Headers],[Geen]:[Waarde MIN]])),P61)</f>
        <v>10</v>
      </c>
      <c r="R61" s="191" t="s">
        <v>55</v>
      </c>
    </row>
    <row r="62" spans="2:36" ht="18" thickTop="1" thickBot="1" x14ac:dyDescent="0.25">
      <c r="B62" s="60" t="str">
        <f>N81</f>
        <v>Belastingen en verzekeringen</v>
      </c>
      <c r="C62" s="55">
        <f>Q81</f>
        <v>200</v>
      </c>
      <c r="D62" s="171" t="s">
        <v>48</v>
      </c>
      <c r="E62" s="55">
        <f t="shared" si="0"/>
        <v>10000</v>
      </c>
      <c r="F62" s="61" t="s">
        <v>49</v>
      </c>
      <c r="H62" s="79" t="str">
        <f>B37</f>
        <v xml:space="preserve">Hollands/Utrechts weidegebied </v>
      </c>
      <c r="I62" s="171"/>
      <c r="J62" s="62"/>
      <c r="K62" s="176" cm="1">
        <f t="array" ref="K62">IF(ISBLANK(J62),_xlfn.XLOOKUP(H62,PachtPrijs[[#All],[Pachtprijs - per regio]],PachtPrijs[[#All],[Regionorm 2020]],"Selecteer gebied"),J62)</f>
        <v>714</v>
      </c>
      <c r="L62" s="190" t="s">
        <v>48</v>
      </c>
      <c r="N62" s="187" t="str">
        <v>Ongediertebestrijding - tarief</v>
      </c>
      <c r="O62" s="69" t="s">
        <v>52</v>
      </c>
      <c r="P62" s="62"/>
      <c r="Q62" s="188" cm="1">
        <f t="array" ref="Q62">IF(ISBLANK(P62),INDEX(CultCost01[[#All],[Geen]:[Waarde MIN]],_xlfn.XMATCH('SCENARIO 3 - Slechtste geval'!N62,CultCost01[[#All],[Gewasverzorging]]),_xlfn.XMATCH('SCENARIO 3 - Slechtste geval'!O62,CultCost01[[#Headers],[Geen]:[Waarde MIN]])),P62)</f>
        <v>30</v>
      </c>
      <c r="R62" s="191" t="s">
        <v>57</v>
      </c>
    </row>
    <row r="63" spans="2:36" ht="18" thickTop="1" thickBot="1" x14ac:dyDescent="0.25">
      <c r="B63" s="60" t="str">
        <f>N85</f>
        <v>Onderhoud</v>
      </c>
      <c r="C63" s="55">
        <f>Q85</f>
        <v>1500</v>
      </c>
      <c r="D63" s="171" t="s">
        <v>48</v>
      </c>
      <c r="E63" s="55">
        <f t="shared" si="0"/>
        <v>75000</v>
      </c>
      <c r="F63" s="61" t="s">
        <v>49</v>
      </c>
      <c r="H63" s="79"/>
      <c r="I63" s="171"/>
      <c r="J63" s="171"/>
      <c r="K63" s="176"/>
      <c r="L63" s="190"/>
      <c r="N63" s="189" t="str">
        <v>Ongediertebestrijding</v>
      </c>
      <c r="O63" s="55">
        <f>Q61*Q62</f>
        <v>300</v>
      </c>
      <c r="P63" s="62"/>
      <c r="Q63" s="176">
        <f>IF(ISBLANK(P63),O63,P63)</f>
        <v>300</v>
      </c>
      <c r="R63" s="190" t="s">
        <v>48</v>
      </c>
    </row>
    <row r="64" spans="2:36" ht="18" thickTop="1" thickBot="1" x14ac:dyDescent="0.25">
      <c r="B64" s="63" t="str">
        <f>N94</f>
        <v>Afschrijving &amp; aflossing teeltinvesteringen</v>
      </c>
      <c r="C64" s="53">
        <f>Q94</f>
        <v>3711.8934035557049</v>
      </c>
      <c r="D64" s="115" t="s">
        <v>48</v>
      </c>
      <c r="E64" s="53">
        <f t="shared" si="0"/>
        <v>185594.67017778524</v>
      </c>
      <c r="F64" s="64" t="s">
        <v>49</v>
      </c>
      <c r="H64" s="260" t="s">
        <v>56</v>
      </c>
      <c r="I64" s="171"/>
      <c r="J64" s="171"/>
      <c r="K64" s="182"/>
      <c r="L64" s="185"/>
      <c r="N64" s="187" t="str">
        <v>Dijkbeheer &amp; slootonderhoud - uren</v>
      </c>
      <c r="O64" s="69" t="s">
        <v>52</v>
      </c>
      <c r="P64" s="62"/>
      <c r="Q64" s="360" cm="1">
        <f t="array" ref="Q64">IF(ISBLANK(P64),INDEX(CultCost01[[#All],[Geen]:[Waarde MIN]],_xlfn.XMATCH('SCENARIO 3 - Slechtste geval'!N64,CultCost01[[#All],[Gewasverzorging]]),_xlfn.XMATCH('SCENARIO 3 - Slechtste geval'!O64,CultCost01[[#Headers],[Geen]:[Waarde MIN]])),P64)</f>
        <v>4</v>
      </c>
      <c r="R64" s="191" t="s">
        <v>55</v>
      </c>
    </row>
    <row r="65" spans="2:22" ht="18" thickTop="1" thickBot="1" x14ac:dyDescent="0.25">
      <c r="B65" s="416" t="s">
        <v>47</v>
      </c>
      <c r="C65" s="65">
        <f>SUM(C59:C64)</f>
        <v>7590.8934035557049</v>
      </c>
      <c r="D65" s="57" t="s">
        <v>48</v>
      </c>
      <c r="E65" s="65">
        <f>SUM(E59:E64)</f>
        <v>379544.67017778521</v>
      </c>
      <c r="F65" s="417" t="s">
        <v>49</v>
      </c>
      <c r="H65" s="187" t="str">
        <f>'DATA - Variabelen &amp; waarden'!B56</f>
        <v xml:space="preserve">Grondprijs </v>
      </c>
      <c r="I65" s="69" t="s">
        <v>52</v>
      </c>
      <c r="J65" s="62"/>
      <c r="K65" s="178" cm="1">
        <f t="array" ref="K65">IF(ISBLANK(J65),INDEX(LandUse01[[#All],[Geen]:[Waarde MIN]],_xlfn.XMATCH(H65,LandUse01[[#All],[Grondgebruik ]]),_xlfn.XMATCH('SCENARIO 3 - Slechtste geval'!I65,LandUse01[[#Headers],[Geen]:[Waarde MIN]])),J65)</f>
        <v>61900</v>
      </c>
      <c r="L65" s="185" t="s">
        <v>48</v>
      </c>
      <c r="N65" s="187" t="str">
        <v>Dijkbeheer &amp; slootonderhoud - tarief</v>
      </c>
      <c r="O65" s="69" t="s">
        <v>52</v>
      </c>
      <c r="P65" s="62"/>
      <c r="Q65" s="188" cm="1">
        <f t="array" ref="Q65">IF(ISBLANK(P65),INDEX(CultCost01[[#All],[Geen]:[Waarde MIN]],_xlfn.XMATCH('SCENARIO 3 - Slechtste geval'!N65,CultCost01[[#All],[Gewasverzorging]]),_xlfn.XMATCH('SCENARIO 3 - Slechtste geval'!O65,CultCost01[[#Headers],[Geen]:[Waarde MIN]])),P65)</f>
        <v>30</v>
      </c>
      <c r="R65" s="191" t="s">
        <v>57</v>
      </c>
    </row>
    <row r="66" spans="2:22" ht="18" thickTop="1" thickBot="1" x14ac:dyDescent="0.25">
      <c r="B66" s="79"/>
      <c r="C66" s="171"/>
      <c r="D66" s="171"/>
      <c r="E66" s="171"/>
      <c r="F66" s="80"/>
      <c r="H66" s="187" t="str">
        <f>'DATA - Variabelen &amp; waarden'!B57</f>
        <v>Rente lening</v>
      </c>
      <c r="I66" s="69" t="s">
        <v>52</v>
      </c>
      <c r="J66" s="62"/>
      <c r="K66" s="290" cm="1">
        <f t="array" ref="K66">IF(ISBLANK(J66),INDEX(LandUse01[[#All],[Geen]:[Waarde MIN]],_xlfn.XMATCH('SCENARIO 3 - Slechtste geval'!H66,LandUse01[[#All],[Grondgebruik ]]),_xlfn.XMATCH('SCENARIO 3 - Slechtste geval'!I66,LandUse01[[#Headers],[Geen]:[Waarde MIN]])),J66)</f>
        <v>0.04</v>
      </c>
      <c r="L66" s="185" t="s">
        <v>58</v>
      </c>
      <c r="N66" s="189" t="str">
        <v>Dijkbeheer &amp; slootonderhoud</v>
      </c>
      <c r="O66" s="55">
        <f>Q64*Q65</f>
        <v>120</v>
      </c>
      <c r="P66" s="62"/>
      <c r="Q66" s="176">
        <f>IF(ISBLANK(P66),O66,P66)</f>
        <v>120</v>
      </c>
      <c r="R66" s="190" t="s">
        <v>48</v>
      </c>
    </row>
    <row r="67" spans="2:22" ht="18" thickTop="1" thickBot="1" x14ac:dyDescent="0.25">
      <c r="B67" s="416" t="s">
        <v>798</v>
      </c>
      <c r="C67" s="503" t="s">
        <v>46</v>
      </c>
      <c r="D67" s="503"/>
      <c r="E67" s="503" t="s">
        <v>47</v>
      </c>
      <c r="F67" s="505"/>
      <c r="H67" s="187" t="str">
        <f>'DATA - Variabelen &amp; waarden'!B58</f>
        <v xml:space="preserve">Aflossingstermijn </v>
      </c>
      <c r="I67" s="69" t="s">
        <v>52</v>
      </c>
      <c r="J67" s="62"/>
      <c r="K67" s="178" cm="1">
        <f t="array" ref="K67">IF(ISBLANK(J67),INDEX(LandUse01[[#All],[Geen]:[Waarde MIN]],_xlfn.XMATCH('SCENARIO 3 - Slechtste geval'!H67,LandUse01[[#All],[Grondgebruik ]]),_xlfn.XMATCH('SCENARIO 3 - Slechtste geval'!I67,LandUse01[[#Headers],[Geen]:[Waarde MIN]])),J67)</f>
        <v>30</v>
      </c>
      <c r="L67" s="185" t="s">
        <v>59</v>
      </c>
      <c r="N67" s="187" t="str">
        <v>Gewasverzorging - uren medewerker</v>
      </c>
      <c r="O67" s="69" t="s">
        <v>52</v>
      </c>
      <c r="P67" s="62"/>
      <c r="Q67" s="178" cm="1">
        <f t="array" ref="Q67">IF(ISBLANK(P67),INDEX(CultCost01[[#All],[Geen]:[Waarde MIN]],_xlfn.XMATCH('SCENARIO 3 - Slechtste geval'!N67,CultCost01[[#All],[Gewasverzorging]]),_xlfn.XMATCH('SCENARIO 3 - Slechtste geval'!O67,CultCost01[[#Headers],[Geen]:[Waarde MIN]])),P67)</f>
        <v>20</v>
      </c>
      <c r="R67" s="185" t="s">
        <v>55</v>
      </c>
    </row>
    <row r="68" spans="2:22" ht="18" thickTop="1" thickBot="1" x14ac:dyDescent="0.25">
      <c r="B68" s="79" t="s">
        <v>799</v>
      </c>
      <c r="C68" s="55">
        <f>K73</f>
        <v>20400</v>
      </c>
      <c r="D68" s="171" t="s">
        <v>48</v>
      </c>
      <c r="E68" s="55">
        <f t="shared" ref="E68:E69" si="1">C68*$E$40</f>
        <v>1020000</v>
      </c>
      <c r="F68" s="61" t="s">
        <v>49</v>
      </c>
      <c r="H68" s="187" t="str">
        <f>'DATA - Variabelen &amp; waarden'!B59</f>
        <v>Restwaarde grond - %</v>
      </c>
      <c r="I68" s="69" t="s">
        <v>51</v>
      </c>
      <c r="J68" s="62"/>
      <c r="K68" s="214" cm="1">
        <f t="array" ref="K68">IF(ISBLANK(J68),INDEX(LandUse01[[#All],[Geen]:[Waarde MIN]],_xlfn.XMATCH('SCENARIO 3 - Slechtste geval'!H68,LandUse01[[#All],[Grondgebruik ]]),_xlfn.XMATCH('SCENARIO 3 - Slechtste geval'!I68,LandUse01[[#Headers],[Geen]:[Waarde MIN]])),J68)</f>
        <v>0.3</v>
      </c>
      <c r="L68" s="185" t="s">
        <v>58</v>
      </c>
      <c r="N68" s="187" t="str">
        <v>Medewerker - tarief per uur</v>
      </c>
      <c r="O68" s="69" t="s">
        <v>52</v>
      </c>
      <c r="P68" s="62"/>
      <c r="Q68" s="178" cm="1">
        <f t="array" ref="Q68">IF(ISBLANK(P68),INDEX(CultCost01[[#All],[Geen]:[Waarde MIN]],_xlfn.XMATCH('SCENARIO 3 - Slechtste geval'!N68,CultCost01[[#All],[Gewasverzorging]]),_xlfn.XMATCH('SCENARIO 3 - Slechtste geval'!O68,CultCost01[[#Headers],[Geen]:[Waarde MIN]])),P68)</f>
        <v>30</v>
      </c>
      <c r="R68" s="185" t="s">
        <v>57</v>
      </c>
    </row>
    <row r="69" spans="2:22" ht="18" thickTop="1" thickBot="1" x14ac:dyDescent="0.25">
      <c r="B69" s="114" t="s">
        <v>800</v>
      </c>
      <c r="C69" s="418">
        <f>K92</f>
        <v>10965</v>
      </c>
      <c r="D69" s="115" t="s">
        <v>48</v>
      </c>
      <c r="E69" s="418">
        <f t="shared" si="1"/>
        <v>548250</v>
      </c>
      <c r="F69" s="419" t="s">
        <v>49</v>
      </c>
      <c r="H69" s="187" t="s">
        <v>60</v>
      </c>
      <c r="I69" s="197">
        <f>K65*K68</f>
        <v>18570</v>
      </c>
      <c r="J69" s="62"/>
      <c r="K69" s="178">
        <f>IF(ISBLANK(J69),I69,J69)</f>
        <v>18570</v>
      </c>
      <c r="L69" s="185" t="s">
        <v>48</v>
      </c>
      <c r="N69" s="187" t="str">
        <v xml:space="preserve">Gewasverzorging - uren management </v>
      </c>
      <c r="O69" s="69" t="s">
        <v>52</v>
      </c>
      <c r="P69" s="62"/>
      <c r="Q69" s="178" cm="1">
        <f t="array" ref="Q69">IF(ISBLANK(P69),INDEX(CultCost01[[#All],[Geen]:[Waarde MIN]],_xlfn.XMATCH('SCENARIO 3 - Slechtste geval'!N69,CultCost01[[#All],[Gewasverzorging]]),_xlfn.XMATCH('SCENARIO 3 - Slechtste geval'!O69,CultCost01[[#Headers],[Geen]:[Waarde MIN]])),P69)</f>
        <v>2</v>
      </c>
      <c r="R69" s="185" t="s">
        <v>55</v>
      </c>
    </row>
    <row r="70" spans="2:22" ht="18" thickTop="1" thickBot="1" x14ac:dyDescent="0.25">
      <c r="B70" s="424" t="s">
        <v>47</v>
      </c>
      <c r="C70" s="249">
        <f>SUM(C68:C69)</f>
        <v>31365</v>
      </c>
      <c r="D70" s="119" t="s">
        <v>48</v>
      </c>
      <c r="E70" s="249">
        <f>SUM(E68:E69)</f>
        <v>1568250</v>
      </c>
      <c r="F70" s="425" t="s">
        <v>49</v>
      </c>
      <c r="H70" s="189" t="s">
        <v>61</v>
      </c>
      <c r="I70" s="176">
        <f>-PMT(K66,K67,K65)</f>
        <v>3579.6831363736369</v>
      </c>
      <c r="J70" s="62"/>
      <c r="K70" s="176">
        <f>IF(ISBLANK(J70),I70,J70)</f>
        <v>3579.6831363736369</v>
      </c>
      <c r="L70" s="190" t="s">
        <v>48</v>
      </c>
      <c r="N70" s="187" t="str">
        <v>Manager - tarief per uur</v>
      </c>
      <c r="O70" s="69" t="s">
        <v>52</v>
      </c>
      <c r="P70" s="62"/>
      <c r="Q70" s="178" cm="1">
        <f t="array" ref="Q70">IF(ISBLANK(P70),INDEX(CultCost01[[#All],[Geen]:[Waarde MIN]],_xlfn.XMATCH('SCENARIO 3 - Slechtste geval'!N70,CultCost01[[#All],[Gewasverzorging]]),_xlfn.XMATCH('SCENARIO 3 - Slechtste geval'!O70,CultCost01[[#Headers],[Geen]:[Waarde MIN]])),P70)</f>
        <v>65</v>
      </c>
      <c r="R70" s="185" t="s">
        <v>57</v>
      </c>
    </row>
    <row r="71" spans="2:22" ht="18" thickTop="1" thickBot="1" x14ac:dyDescent="0.25">
      <c r="H71" s="189" t="s">
        <v>62</v>
      </c>
      <c r="I71" s="176">
        <f>(K65-K69)/K67</f>
        <v>1444.3333333333333</v>
      </c>
      <c r="J71" s="62"/>
      <c r="K71" s="176">
        <f>IF(ISBLANK(J71),I71,J71)</f>
        <v>1444.3333333333333</v>
      </c>
      <c r="L71" s="190" t="s">
        <v>48</v>
      </c>
      <c r="N71" s="189" t="str">
        <v>Gewasverzorging - eigen arbeidsuren</v>
      </c>
      <c r="O71" s="55">
        <f>SUM(Q67*Q68,Q69*Q70)</f>
        <v>730</v>
      </c>
      <c r="P71" s="62"/>
      <c r="Q71" s="176">
        <f>IF(ISBLANK(P71),O71,P71)</f>
        <v>730</v>
      </c>
      <c r="R71" s="190" t="s">
        <v>48</v>
      </c>
      <c r="V71" s="28"/>
    </row>
    <row r="72" spans="2:22" ht="18" thickTop="1" thickBot="1" x14ac:dyDescent="0.25">
      <c r="H72" s="79"/>
      <c r="I72" s="171"/>
      <c r="J72" s="171"/>
      <c r="K72" s="56"/>
      <c r="L72" s="80"/>
      <c r="N72" s="187" t="str">
        <v>Gewasverzorging - uren inhuur derden</v>
      </c>
      <c r="O72" s="69" t="s">
        <v>63</v>
      </c>
      <c r="P72" s="62"/>
      <c r="Q72" s="178" cm="1">
        <f t="array" ref="Q72">IF(ISBLANK(P72),INDEX(CultCost01[[#All],[Geen]:[Waarde MIN]],_xlfn.XMATCH('SCENARIO 3 - Slechtste geval'!N72,CultCost01[[#All],[Gewasverzorging]]),_xlfn.XMATCH('SCENARIO 3 - Slechtste geval'!O72,CultCost01[[#Headers],[Geen]:[Waarde MIN]])),P72)</f>
        <v>0</v>
      </c>
      <c r="R72" s="185" t="s">
        <v>55</v>
      </c>
    </row>
    <row r="73" spans="2:22" ht="18" thickTop="1" thickBot="1" x14ac:dyDescent="0.25">
      <c r="H73" s="109" t="s">
        <v>64</v>
      </c>
      <c r="I73" s="90" t="s">
        <v>25</v>
      </c>
      <c r="J73" s="92" t="s">
        <v>26</v>
      </c>
      <c r="K73" s="65">
        <f>SUM(K76,K79,K82,K85,K86,K87,K88,K89,K90)</f>
        <v>20400</v>
      </c>
      <c r="L73" s="184" t="s">
        <v>48</v>
      </c>
      <c r="N73" s="187" t="str">
        <v>Gewasverzorging - tarief inhuur derden</v>
      </c>
      <c r="O73" s="69" t="s">
        <v>63</v>
      </c>
      <c r="P73" s="62"/>
      <c r="Q73" s="178" cm="1">
        <f t="array" ref="Q73">IF(ISBLANK(P73),INDEX(CultCost01[[#All],[Geen]:[Waarde MIN]],_xlfn.XMATCH('SCENARIO 3 - Slechtste geval'!N73,CultCost01[[#All],[Gewasverzorging]]),_xlfn.XMATCH('SCENARIO 3 - Slechtste geval'!O73,CultCost01[[#Headers],[Geen]:[Waarde MIN]])),P73)</f>
        <v>0</v>
      </c>
      <c r="R73" s="185" t="s">
        <v>57</v>
      </c>
    </row>
    <row r="74" spans="2:22" ht="18" thickTop="1" thickBot="1" x14ac:dyDescent="0.25">
      <c r="H74" s="187" t="str" cm="1">
        <f t="array" ref="H74:H90">CultInvest01[Teelt - Investeringen perceel]</f>
        <v>Grondverzet - uren per hectare</v>
      </c>
      <c r="I74" s="69" t="s">
        <v>52</v>
      </c>
      <c r="J74" s="62"/>
      <c r="K74" s="178" cm="1">
        <f t="array" ref="K74">IF(ISBLANK(J74),INDEX(CultInvest01[[#All],[Geen]:[Waarde MIN]],_xlfn.XMATCH('SCENARIO 3 - Slechtste geval'!H74,CultInvest01[[#All],[Teelt - Investeringen perceel]]),_xlfn.XMATCH('SCENARIO 3 - Slechtste geval'!I74,CultInvest01[[#Headers],[Geen]:[Waarde MIN]])),J74)</f>
        <v>80</v>
      </c>
      <c r="L74" s="179" t="s">
        <v>55</v>
      </c>
      <c r="N74" s="189" t="str">
        <v>Gewasverzorging - inhuur derden</v>
      </c>
      <c r="O74" s="171">
        <f>Q72*Q73</f>
        <v>0</v>
      </c>
      <c r="P74" s="62"/>
      <c r="Q74" s="176">
        <f>IF(ISBLANK(P74),O74,P74)</f>
        <v>0</v>
      </c>
      <c r="R74" s="190" t="s">
        <v>48</v>
      </c>
    </row>
    <row r="75" spans="2:22" ht="18" thickTop="1" thickBot="1" x14ac:dyDescent="0.25">
      <c r="H75" s="187" t="str">
        <v>Grondverzet - prijs per uur</v>
      </c>
      <c r="I75" s="69" t="s">
        <v>52</v>
      </c>
      <c r="J75" s="62"/>
      <c r="K75" s="178" cm="1">
        <f t="array" ref="K75">IF(ISBLANK(J75),INDEX(CultInvest01[[#All],[Geen]:[Waarde MIN]],_xlfn.XMATCH('SCENARIO 3 - Slechtste geval'!H75,CultInvest01[[#All],[Teelt - Investeringen perceel]]),_xlfn.XMATCH('SCENARIO 3 - Slechtste geval'!I75,CultInvest01[[#Headers],[Geen]:[Waarde MIN]])),J75)</f>
        <v>120</v>
      </c>
      <c r="L75" s="179" t="s">
        <v>57</v>
      </c>
      <c r="N75" s="79"/>
      <c r="O75" s="171"/>
      <c r="P75" s="171"/>
      <c r="Q75" s="171"/>
      <c r="R75" s="80"/>
    </row>
    <row r="76" spans="2:22" ht="18" thickTop="1" thickBot="1" x14ac:dyDescent="0.25">
      <c r="H76" s="189" t="str">
        <v>Grondverzet - totaal</v>
      </c>
      <c r="I76" s="55">
        <f>K74*K75</f>
        <v>9600</v>
      </c>
      <c r="J76" s="62"/>
      <c r="K76" s="176">
        <f>IF(ISBLANK(J76),I76,J76)</f>
        <v>9600</v>
      </c>
      <c r="L76" s="190" t="s">
        <v>48</v>
      </c>
      <c r="N76" s="109" t="str" cm="1">
        <f t="array" ref="N76:N79">CultCost02[[#All],[Energieverbruik en water]]</f>
        <v>Energieverbruik en water</v>
      </c>
      <c r="O76" s="90" t="s">
        <v>25</v>
      </c>
      <c r="P76" s="92" t="s">
        <v>26</v>
      </c>
      <c r="Q76" s="65">
        <f>SUM(Q77:Q79)</f>
        <v>175</v>
      </c>
      <c r="R76" s="184" t="s">
        <v>48</v>
      </c>
    </row>
    <row r="77" spans="2:22" ht="18" thickTop="1" thickBot="1" x14ac:dyDescent="0.25">
      <c r="H77" s="187" t="str">
        <v>Grondtoevoer - kuub per hectare</v>
      </c>
      <c r="I77" s="69" t="s">
        <v>52</v>
      </c>
      <c r="J77" s="62"/>
      <c r="K77" s="178" cm="1">
        <f t="array" ref="K77">IF(ISBLANK(J77),INDEX(CultInvest01[[#All],[Geen]:[Waarde MIN]],_xlfn.XMATCH('SCENARIO 3 - Slechtste geval'!H77,CultInvest01[[#All],[Teelt - Investeringen perceel]]),_xlfn.XMATCH('SCENARIO 3 - Slechtste geval'!I77,CultInvest01[[#Headers],[Geen]:[Waarde MIN]])),J77)</f>
        <v>800</v>
      </c>
      <c r="L77" s="185" t="s">
        <v>65</v>
      </c>
      <c r="N77" s="189" t="str">
        <v>Elektraverbruik irrigatie en peilbeheer</v>
      </c>
      <c r="O77" s="69" t="s">
        <v>52</v>
      </c>
      <c r="P77" s="62"/>
      <c r="Q77" s="176" cm="1">
        <f t="array" ref="Q77">IF(ISBLANK(P77),INDEX(CultCost02[[#All],[Geen]:[Waarde MIN]],_xlfn.XMATCH('SCENARIO 3 - Slechtste geval'!N77,CultCost02[[#All],[Energieverbruik en water]]),_xlfn.XMATCH('SCENARIO 3 - Slechtste geval'!O77,CultCost02[[#Headers],[Geen]:[Waarde MIN]])),P77)</f>
        <v>50</v>
      </c>
      <c r="R77" s="190" t="s">
        <v>48</v>
      </c>
    </row>
    <row r="78" spans="2:22" ht="18" thickTop="1" thickBot="1" x14ac:dyDescent="0.25">
      <c r="H78" s="187" t="str">
        <v>Grondtoevoer - prijs per kuub</v>
      </c>
      <c r="I78" s="69" t="s">
        <v>52</v>
      </c>
      <c r="J78" s="62"/>
      <c r="K78" s="178" cm="1">
        <f t="array" ref="K78">IF(ISBLANK(J78),INDEX(CultInvest01[[#All],[Geen]:[Waarde MIN]],_xlfn.XMATCH('SCENARIO 3 - Slechtste geval'!H78,CultInvest01[[#All],[Teelt - Investeringen perceel]]),_xlfn.XMATCH('SCENARIO 3 - Slechtste geval'!I78,CultInvest01[[#Headers],[Geen]:[Waarde MIN]])),J78)</f>
        <v>5</v>
      </c>
      <c r="L78" s="185" t="s">
        <v>66</v>
      </c>
      <c r="N78" s="189" t="str">
        <v xml:space="preserve">Elektraverbruik overig </v>
      </c>
      <c r="O78" s="69" t="s">
        <v>52</v>
      </c>
      <c r="P78" s="62"/>
      <c r="Q78" s="176" cm="1">
        <f t="array" ref="Q78">IF(ISBLANK(P78),INDEX(CultCost02[[#All],[Geen]:[Waarde MIN]],_xlfn.XMATCH('SCENARIO 3 - Slechtste geval'!N78,CultCost02[[#All],[Energieverbruik en water]]),_xlfn.XMATCH('SCENARIO 3 - Slechtste geval'!O78,CultCost02[[#Headers],[Geen]:[Waarde MIN]])),P78)</f>
        <v>50</v>
      </c>
      <c r="R78" s="190" t="s">
        <v>48</v>
      </c>
    </row>
    <row r="79" spans="2:22" ht="18" thickTop="1" thickBot="1" x14ac:dyDescent="0.25">
      <c r="H79" s="189" t="str">
        <v>Grondtoevoer - totaal</v>
      </c>
      <c r="I79" s="55">
        <f>K77*K78</f>
        <v>4000</v>
      </c>
      <c r="J79" s="62"/>
      <c r="K79" s="176">
        <f>IF(ISBLANK(J79),I79,J79)</f>
        <v>4000</v>
      </c>
      <c r="L79" s="190" t="s">
        <v>48</v>
      </c>
      <c r="N79" s="189" t="str">
        <v>Heffingen waterverbruik</v>
      </c>
      <c r="O79" s="69" t="s">
        <v>52</v>
      </c>
      <c r="P79" s="62"/>
      <c r="Q79" s="176" cm="1">
        <f t="array" ref="Q79">IF(ISBLANK(P79),INDEX(CultCost02[[#All],[Geen]:[Waarde MIN]],_xlfn.XMATCH('SCENARIO 3 - Slechtste geval'!N79,CultCost02[[#All],[Energieverbruik en water]]),_xlfn.XMATCH('SCENARIO 3 - Slechtste geval'!O79,CultCost02[[#Headers],[Geen]:[Waarde MIN]])),P79)</f>
        <v>75</v>
      </c>
      <c r="R79" s="190" t="s">
        <v>48</v>
      </c>
    </row>
    <row r="80" spans="2:22" ht="18" thickTop="1" thickBot="1" x14ac:dyDescent="0.25">
      <c r="H80" s="187" t="str">
        <v>Watertoevoer - meter leiding per hectare</v>
      </c>
      <c r="I80" s="69" t="s">
        <v>52</v>
      </c>
      <c r="J80" s="62"/>
      <c r="K80" s="178" cm="1">
        <f t="array" ref="K80">IF(ISBLANK(J80),INDEX(CultInvest01[[#All],[Geen]:[Waarde MIN]],_xlfn.XMATCH('SCENARIO 3 - Slechtste geval'!H80,CultInvest01[[#All],[Teelt - Investeringen perceel]]),_xlfn.XMATCH('SCENARIO 3 - Slechtste geval'!I80,CultInvest01[[#Headers],[Geen]:[Waarde MIN]])),J80)</f>
        <v>20</v>
      </c>
      <c r="L80" s="185" t="s">
        <v>888</v>
      </c>
      <c r="N80" s="79"/>
      <c r="O80" s="171"/>
      <c r="P80" s="171"/>
      <c r="Q80" s="171"/>
      <c r="R80" s="80"/>
    </row>
    <row r="81" spans="8:18" ht="18" thickTop="1" thickBot="1" x14ac:dyDescent="0.25">
      <c r="H81" s="187" t="str">
        <v>Watertoevoer - prijs per meter leiding</v>
      </c>
      <c r="I81" s="69" t="s">
        <v>52</v>
      </c>
      <c r="J81" s="62"/>
      <c r="K81" s="178" cm="1">
        <f t="array" ref="K81">IF(ISBLANK(J81),INDEX(CultInvest01[[#All],[Geen]:[Waarde MIN]],_xlfn.XMATCH('SCENARIO 3 - Slechtste geval'!H81,CultInvest01[[#All],[Teelt - Investeringen perceel]]),_xlfn.XMATCH('SCENARIO 3 - Slechtste geval'!I81,CultInvest01[[#Headers],[Geen]:[Waarde MIN]])),J81)</f>
        <v>15</v>
      </c>
      <c r="L81" s="185" t="s">
        <v>889</v>
      </c>
      <c r="N81" s="109" t="str" cm="1">
        <f t="array" ref="N81:N83">CultCost03[[#All],[Belastingen en verzekeringen]]</f>
        <v>Belastingen en verzekeringen</v>
      </c>
      <c r="O81" s="90" t="s">
        <v>25</v>
      </c>
      <c r="P81" s="92" t="s">
        <v>26</v>
      </c>
      <c r="Q81" s="123">
        <f>SUM(Q82:Q83)</f>
        <v>200</v>
      </c>
      <c r="R81" s="184" t="s">
        <v>48</v>
      </c>
    </row>
    <row r="82" spans="8:18" ht="18" thickTop="1" thickBot="1" x14ac:dyDescent="0.25">
      <c r="H82" s="207" t="str">
        <v>Watertoevoer - totaal</v>
      </c>
      <c r="I82" s="55">
        <f>K80*K81</f>
        <v>300</v>
      </c>
      <c r="J82" s="62"/>
      <c r="K82" s="176">
        <f>IF(ISBLANK(J82),I82,J82)</f>
        <v>300</v>
      </c>
      <c r="L82" s="190" t="s">
        <v>48</v>
      </c>
      <c r="N82" s="189" t="str">
        <v>Waterschapsbelasting</v>
      </c>
      <c r="O82" s="69" t="s">
        <v>52</v>
      </c>
      <c r="P82" s="62"/>
      <c r="Q82" s="194" cm="1">
        <f t="array" ref="Q82">IF(ISBLANK(P82),INDEX(CultCost03[[#All],[Geen]:[Waarde MIN]],_xlfn.XMATCH('SCENARIO 3 - Slechtste geval'!N82,CultCost03[[#All],[Belastingen en verzekeringen]]),_xlfn.XMATCH('SCENARIO 3 - Slechtste geval'!O82,CultCost03[[#Headers],[Geen]:[Waarde MIN]])),P82)</f>
        <v>100</v>
      </c>
      <c r="R82" s="190" t="s">
        <v>48</v>
      </c>
    </row>
    <row r="83" spans="8:18" ht="18" thickTop="1" thickBot="1" x14ac:dyDescent="0.25">
      <c r="H83" s="187" t="str">
        <v>Waterafvoer - meter leiding per hectare</v>
      </c>
      <c r="I83" s="69" t="s">
        <v>52</v>
      </c>
      <c r="J83" s="62"/>
      <c r="K83" s="178" cm="1">
        <f t="array" ref="K83">IF(ISBLANK(J83),INDEX(CultInvest01[[#All],[Geen]:[Waarde MIN]],_xlfn.XMATCH('SCENARIO 3 - Slechtste geval'!H83,CultInvest01[[#All],[Teelt - Investeringen perceel]]),_xlfn.XMATCH('SCENARIO 3 - Slechtste geval'!I83,CultInvest01[[#Headers],[Geen]:[Waarde MIN]])),J83)</f>
        <v>20</v>
      </c>
      <c r="L83" s="185" t="s">
        <v>888</v>
      </c>
      <c r="N83" s="189" t="str">
        <v>Verzekeringen</v>
      </c>
      <c r="O83" s="69" t="s">
        <v>52</v>
      </c>
      <c r="P83" s="62"/>
      <c r="Q83" s="195" cm="1">
        <f t="array" ref="Q83">IF(ISBLANK(P83),INDEX(CultCost03[[#All],[Geen]:[Waarde MIN]],_xlfn.XMATCH('SCENARIO 3 - Slechtste geval'!N83,CultCost03[[#All],[Belastingen en verzekeringen]]),_xlfn.XMATCH('SCENARIO 3 - Slechtste geval'!O83,CultCost03[[#Headers],[Geen]:[Waarde MIN]])),P83)</f>
        <v>100</v>
      </c>
      <c r="R83" s="190" t="s">
        <v>48</v>
      </c>
    </row>
    <row r="84" spans="8:18" ht="18" thickTop="1" thickBot="1" x14ac:dyDescent="0.25">
      <c r="H84" s="187" t="str">
        <v>Waterafvoer - prijs per meter leiding</v>
      </c>
      <c r="I84" s="69" t="s">
        <v>52</v>
      </c>
      <c r="J84" s="62"/>
      <c r="K84" s="178" cm="1">
        <f t="array" ref="K84">IF(ISBLANK(J84),INDEX(CultInvest01[[#All],[Geen]:[Waarde MIN]],_xlfn.XMATCH('SCENARIO 3 - Slechtste geval'!H84,CultInvest01[[#All],[Teelt - Investeringen perceel]]),_xlfn.XMATCH('SCENARIO 3 - Slechtste geval'!I84,CultInvest01[[#Headers],[Geen]:[Waarde MIN]])),J84)</f>
        <v>15</v>
      </c>
      <c r="L84" s="185" t="s">
        <v>889</v>
      </c>
      <c r="N84" s="79"/>
      <c r="O84" s="171"/>
      <c r="P84" s="171"/>
      <c r="Q84" s="171"/>
      <c r="R84" s="80"/>
    </row>
    <row r="85" spans="8:18" ht="18" thickTop="1" thickBot="1" x14ac:dyDescent="0.25">
      <c r="H85" s="189" t="str">
        <v>Waterafvoer - totaal</v>
      </c>
      <c r="I85" s="55">
        <f>K83*K84</f>
        <v>300</v>
      </c>
      <c r="J85" s="62"/>
      <c r="K85" s="176">
        <f>IF(ISBLANK(J85),I85,J85)</f>
        <v>300</v>
      </c>
      <c r="L85" s="190" t="s">
        <v>48</v>
      </c>
      <c r="N85" s="109" t="str" cm="1">
        <f t="array" ref="N85:N92">CultCost04[[#All],[Onderhoud]]</f>
        <v>Onderhoud</v>
      </c>
      <c r="O85" s="90" t="s">
        <v>25</v>
      </c>
      <c r="P85" s="92" t="s">
        <v>26</v>
      </c>
      <c r="Q85" s="65">
        <f>SUM(Q86:Q92)</f>
        <v>1500</v>
      </c>
      <c r="R85" s="184" t="s">
        <v>48</v>
      </c>
    </row>
    <row r="86" spans="8:18" ht="18" thickTop="1" thickBot="1" x14ac:dyDescent="0.25">
      <c r="H86" s="189" t="str">
        <v>Pompen - aanschaf incl. stroomvoorziening</v>
      </c>
      <c r="I86" s="69" t="s">
        <v>52</v>
      </c>
      <c r="J86" s="62"/>
      <c r="K86" s="176" cm="1">
        <f t="array" ref="K86">IF(ISBLANK(J86),INDEX(CultInvest01[[#All],[Geen]:[Waarde MIN]],_xlfn.XMATCH('SCENARIO 3 - Slechtste geval'!H86,CultInvest01[[#All],[Teelt - Investeringen perceel]]),_xlfn.XMATCH('SCENARIO 3 - Slechtste geval'!I86,CultInvest01[[#Headers],[Geen]:[Waarde MIN]])),J86)</f>
        <v>3400</v>
      </c>
      <c r="L86" s="190" t="s">
        <v>48</v>
      </c>
      <c r="N86" s="79" t="str">
        <v>Grondverzet - totaal</v>
      </c>
      <c r="O86" s="69" t="s">
        <v>52</v>
      </c>
      <c r="P86" s="62"/>
      <c r="Q86" s="56" cm="1">
        <f t="array" ref="Q86">IF(ISBLANK(P86),(SUM(K76,K79)*INDEX(CultCost04[[#All],[Geen]:[Waarde MIN]],_xlfn.XMATCH('SCENARIO 3 - Slechtste geval'!N86,CultCost04[[#All],[Onderhoud]]),_xlfn.XMATCH('SCENARIO 3 - Slechtste geval'!O86,CultCost04[[#Headers],[Geen]:[Waarde MIN]]))),P86)</f>
        <v>680</v>
      </c>
      <c r="R86" s="80" t="s">
        <v>48</v>
      </c>
    </row>
    <row r="87" spans="8:18" ht="18" thickTop="1" thickBot="1" x14ac:dyDescent="0.25">
      <c r="H87" s="189" t="str">
        <v>Waterpeilbeheersing (schuiven, slibkisten, etc.)</v>
      </c>
      <c r="I87" s="69" t="s">
        <v>52</v>
      </c>
      <c r="J87" s="62"/>
      <c r="K87" s="176" cm="1">
        <f t="array" ref="K87">IF(ISBLANK(J87),INDEX(CultInvest01[[#All],[Geen]:[Waarde MIN]],_xlfn.XMATCH('SCENARIO 3 - Slechtste geval'!H87,CultInvest01[[#All],[Teelt - Investeringen perceel]]),_xlfn.XMATCH('SCENARIO 3 - Slechtste geval'!I87,CultInvest01[[#Headers],[Geen]:[Waarde MIN]])),J87)</f>
        <v>1000</v>
      </c>
      <c r="L87" s="190" t="s">
        <v>48</v>
      </c>
      <c r="N87" s="79" t="str">
        <v>Watertoevoer - totaal</v>
      </c>
      <c r="O87" s="69" t="s">
        <v>52</v>
      </c>
      <c r="P87" s="62"/>
      <c r="Q87" s="55" cm="1">
        <f t="array" ref="Q87">IF(ISBLANK(P87),(K82*INDEX(CultCost04[[#All],[Geen]:[Waarde MIN]],_xlfn.XMATCH('SCENARIO 3 - Slechtste geval'!N87,CultCost04[[#All],[Onderhoud]]),_xlfn.XMATCH('SCENARIO 3 - Slechtste geval'!O87,CultCost04[[#Headers],[Geen]:[Waarde MIN]]))),P87)</f>
        <v>30</v>
      </c>
      <c r="R87" s="80" t="s">
        <v>48</v>
      </c>
    </row>
    <row r="88" spans="8:18" s="28" customFormat="1" ht="18" thickTop="1" thickBot="1" x14ac:dyDescent="0.25">
      <c r="H88" s="79" t="str">
        <v>Afrastering &amp; vraatbescherming</v>
      </c>
      <c r="I88" s="69" t="s">
        <v>52</v>
      </c>
      <c r="J88" s="62"/>
      <c r="K88" s="176" cm="1">
        <f t="array" ref="K88">IF(ISBLANK(J88),INDEX(CultInvest01[[#All],[Geen]:[Waarde MIN]],_xlfn.XMATCH('SCENARIO 3 - Slechtste geval'!H88,CultInvest01[[#All],[Teelt - Investeringen perceel]]),_xlfn.XMATCH('SCENARIO 3 - Slechtste geval'!I88,CultInvest01[[#Headers],[Geen]:[Waarde MIN]])),J88)</f>
        <v>1000</v>
      </c>
      <c r="L88" s="190" t="s">
        <v>48</v>
      </c>
      <c r="N88" s="79" t="str">
        <v>Waterafvoer - totaal</v>
      </c>
      <c r="O88" s="69" t="s">
        <v>52</v>
      </c>
      <c r="P88" s="62"/>
      <c r="Q88" s="55" cm="1">
        <f t="array" ref="Q88">IF(ISBLANK(P88),(K85*INDEX(CultCost04[[#All],[Geen]:[Waarde MIN]],_xlfn.XMATCH('SCENARIO 3 - Slechtste geval'!N88,CultCost04[[#All],[Onderhoud]]),_xlfn.XMATCH('SCENARIO 3 - Slechtste geval'!O88,CultCost04[[#Headers],[Geen]:[Waarde MIN]]))),P88)</f>
        <v>30</v>
      </c>
      <c r="R88" s="80" t="s">
        <v>48</v>
      </c>
    </row>
    <row r="89" spans="8:18" s="28" customFormat="1" ht="18" thickTop="1" thickBot="1" x14ac:dyDescent="0.25">
      <c r="H89" s="79" t="str">
        <v>Overige kosten (bijv. folie)</v>
      </c>
      <c r="I89" s="69" t="s">
        <v>52</v>
      </c>
      <c r="J89" s="62">
        <v>500</v>
      </c>
      <c r="K89" s="176" cm="1">
        <f t="array" ref="K89">IF(ISBLANK(J89),INDEX(CultInvest01[[#All],[Geen]:[Waarde MIN]],_xlfn.XMATCH('SCENARIO 3 - Slechtste geval'!H89,CultInvest01[[#All],[Teelt - Investeringen perceel]]),_xlfn.XMATCH('SCENARIO 3 - Slechtste geval'!I89,CultInvest01[[#Headers],[Geen]:[Waarde MIN]])),J89)</f>
        <v>500</v>
      </c>
      <c r="L89" s="190" t="s">
        <v>48</v>
      </c>
      <c r="N89" s="79" t="str">
        <v>Pompen - aanschaf incl. stroomvoorziening</v>
      </c>
      <c r="O89" s="69" t="s">
        <v>52</v>
      </c>
      <c r="P89" s="62"/>
      <c r="Q89" s="55" cm="1">
        <f t="array" ref="Q89">IF(ISBLANK(P89),(K86*INDEX(CultCost04[[#All],[Geen]:[Waarde MIN]],_xlfn.XMATCH('SCENARIO 3 - Slechtste geval'!N89,CultCost04[[#All],[Onderhoud]]),_xlfn.XMATCH('SCENARIO 3 - Slechtste geval'!O89,CultCost04[[#Headers],[Geen]:[Waarde MIN]]))),P89)</f>
        <v>510</v>
      </c>
      <c r="R89" s="80" t="s">
        <v>48</v>
      </c>
    </row>
    <row r="90" spans="8:18" s="28" customFormat="1" ht="18" thickTop="1" thickBot="1" x14ac:dyDescent="0.25">
      <c r="H90" s="79" t="str">
        <v>Vergunningsaanvraag</v>
      </c>
      <c r="I90" s="69" t="s">
        <v>52</v>
      </c>
      <c r="J90" s="62"/>
      <c r="K90" s="176" cm="1">
        <f t="array" ref="K90">IF(ISBLANK(J90),INDEX(CultInvest01[[#All],[Geen]:[Waarde MIN]],_xlfn.XMATCH('SCENARIO 3 - Slechtste geval'!H90,CultInvest01[[#All],[Teelt - Investeringen perceel]]),_xlfn.XMATCH('SCENARIO 3 - Slechtste geval'!I90,CultInvest01[[#Headers],[Geen]:[Waarde MIN]])),J90)</f>
        <v>300</v>
      </c>
      <c r="L90" s="190" t="s">
        <v>48</v>
      </c>
      <c r="N90" s="79" t="str">
        <v>Waterpeilbeheersing (schuiven, slibkisten, etc.)</v>
      </c>
      <c r="O90" s="69" t="s">
        <v>52</v>
      </c>
      <c r="P90" s="62"/>
      <c r="Q90" s="55" cm="1">
        <f t="array" ref="Q90">IF(ISBLANK(P90),(K87*INDEX(CultCost04[[#All],[Geen]:[Waarde MIN]],_xlfn.XMATCH('SCENARIO 3 - Slechtste geval'!N90,CultCost04[[#All],[Onderhoud]]),_xlfn.XMATCH('SCENARIO 3 - Slechtste geval'!O90,CultCost04[[#Headers],[Geen]:[Waarde MIN]]))),P90)</f>
        <v>100</v>
      </c>
      <c r="R90" s="80" t="s">
        <v>48</v>
      </c>
    </row>
    <row r="91" spans="8:18" s="28" customFormat="1" ht="18" thickTop="1" thickBot="1" x14ac:dyDescent="0.25">
      <c r="H91" s="79"/>
      <c r="I91" s="56"/>
      <c r="J91" s="176"/>
      <c r="K91" s="176"/>
      <c r="L91" s="80"/>
      <c r="N91" s="79" t="str">
        <v>Afrastering &amp; vraatbescherming</v>
      </c>
      <c r="O91" s="69" t="s">
        <v>52</v>
      </c>
      <c r="P91" s="62"/>
      <c r="Q91" s="55" cm="1">
        <f t="array" ref="Q91">IF(ISBLANK(P91),(K88*INDEX(CultCost04[[#All],[Geen]:[Waarde MIN]],_xlfn.XMATCH('SCENARIO 3 - Slechtste geval'!N91,CultCost04[[#All],[Onderhoud]]),_xlfn.XMATCH('SCENARIO 3 - Slechtste geval'!O91,CultCost04[[#Headers],[Geen]:[Waarde MIN]]))),P91)</f>
        <v>100</v>
      </c>
      <c r="R91" s="80" t="s">
        <v>48</v>
      </c>
    </row>
    <row r="92" spans="8:18" s="28" customFormat="1" ht="18" thickTop="1" thickBot="1" x14ac:dyDescent="0.25">
      <c r="H92" s="109" t="s">
        <v>67</v>
      </c>
      <c r="I92" s="90" t="s">
        <v>25</v>
      </c>
      <c r="J92" s="92" t="s">
        <v>26</v>
      </c>
      <c r="K92" s="54">
        <f>SUM(K93,K94,K96,K97,K100,K101,K102)</f>
        <v>10965</v>
      </c>
      <c r="L92" s="184" t="s">
        <v>48</v>
      </c>
      <c r="N92" s="79" t="str">
        <v>Overige kosten (bijv. folie)</v>
      </c>
      <c r="O92" s="69" t="s">
        <v>52</v>
      </c>
      <c r="P92" s="62"/>
      <c r="Q92" s="55" cm="1">
        <f t="array" ref="Q92">IF(ISBLANK(P92),(K89*INDEX(CultCost04[[#All],[Geen]:[Waarde MIN]],_xlfn.XMATCH('SCENARIO 3 - Slechtste geval'!N92,CultCost04[[#All],[Onderhoud]]),_xlfn.XMATCH('SCENARIO 3 - Slechtste geval'!O92,CultCost04[[#Headers],[Geen]:[Waarde MIN]]))),P92)</f>
        <v>50</v>
      </c>
      <c r="R92" s="80" t="s">
        <v>48</v>
      </c>
    </row>
    <row r="93" spans="8:18" s="28" customFormat="1" ht="18" thickTop="1" thickBot="1" x14ac:dyDescent="0.25">
      <c r="H93" s="189" t="str" cm="1">
        <f t="array" ref="H93:H102">CultInvest02[Planten / Zaaien]</f>
        <v>Klaarmaken grond - grondbewerking</v>
      </c>
      <c r="I93" s="69" t="s">
        <v>51</v>
      </c>
      <c r="J93" s="62"/>
      <c r="K93" s="176" cm="1">
        <f t="array" ref="K93">IF(ISBLANK(J93),INDEX(CultInvest02[[#Headers],[#Data],[Geen]:[Waarde MIN]],_xlfn.XMATCH('SCENARIO 3 - Slechtste geval'!H93,CultInvest02[[#Headers],[#Data],[Planten / Zaaien]]),_xlfn.XMATCH('SCENARIO 3 - Slechtste geval'!I93,CultInvest02[[#Headers],[Geen]:[Waarde MIN]])),J93)</f>
        <v>65</v>
      </c>
      <c r="L93" s="190" t="s">
        <v>48</v>
      </c>
      <c r="N93" s="79"/>
      <c r="O93" s="171"/>
      <c r="P93" s="171"/>
      <c r="Q93" s="171"/>
      <c r="R93" s="80"/>
    </row>
    <row r="94" spans="8:18" s="28" customFormat="1" ht="18" thickTop="1" thickBot="1" x14ac:dyDescent="0.25">
      <c r="H94" s="189" t="str">
        <v>Klaarmaken grond - bodemverbeteraars/bemesting</v>
      </c>
      <c r="I94" s="69" t="s">
        <v>51</v>
      </c>
      <c r="J94" s="62"/>
      <c r="K94" s="176" cm="1">
        <f t="array" ref="K94">IF(ISBLANK(J94),INDEX(CultInvest02[[#Headers],[#Data],[Geen]:[Waarde MIN]],_xlfn.XMATCH('SCENARIO 3 - Slechtste geval'!H94,CultInvest02[[#Headers],[#Data],[Planten / Zaaien]]),_xlfn.XMATCH('SCENARIO 3 - Slechtste geval'!I94,CultInvest02[[#Headers],[Geen]:[Waarde MIN]])),J94)</f>
        <v>100</v>
      </c>
      <c r="L94" s="190" t="s">
        <v>48</v>
      </c>
      <c r="N94" s="109" t="str" cm="1">
        <f t="array" ref="N94:N99">CultCost05[[#All],[Afschrijving &amp; aflossing teeltinvesteringen]]</f>
        <v>Afschrijving &amp; aflossing teeltinvesteringen</v>
      </c>
      <c r="O94" s="90" t="s">
        <v>25</v>
      </c>
      <c r="P94" s="92" t="s">
        <v>26</v>
      </c>
      <c r="Q94" s="65">
        <f>SUM(Q97,Q99)</f>
        <v>3711.8934035557049</v>
      </c>
      <c r="R94" s="184" t="s">
        <v>48</v>
      </c>
    </row>
    <row r="95" spans="8:18" s="28" customFormat="1" ht="18" thickTop="1" thickBot="1" x14ac:dyDescent="0.25">
      <c r="H95" s="187" t="str">
        <v>Plantmateriaal - prijs per m2</v>
      </c>
      <c r="I95" s="69" t="s">
        <v>52</v>
      </c>
      <c r="J95" s="62"/>
      <c r="K95" s="181" cm="1">
        <f t="array" ref="K95">IF(ISBLANK(J95),INDEX(CultInvest02[[#Headers],[#Data],[Geen]:[Waarde MIN]],_xlfn.XMATCH('SCENARIO 3 - Slechtste geval'!H95,CultInvest02[[#Headers],[#Data],[Planten / Zaaien]]),_xlfn.XMATCH('SCENARIO 3 - Slechtste geval'!I95,CultInvest02[[#Headers],[Geen]:[Waarde MIN]])),J95)</f>
        <v>0.9</v>
      </c>
      <c r="L95" s="185" t="s">
        <v>68</v>
      </c>
      <c r="N95" s="79" t="str">
        <v>Rentepercentage (wel/geen lening)</v>
      </c>
      <c r="O95" s="69" t="s">
        <v>52</v>
      </c>
      <c r="P95" s="70"/>
      <c r="Q95" s="66" cm="1">
        <f t="array" ref="Q95">IF(ISBLANK(P95),INDEX(CultCost05[[#All],[Geen]:[Waarde MIN]],_xlfn.XMATCH('SCENARIO 3 - Slechtste geval'!N95,CultCost05[[#All],[Afschrijving &amp; aflossing teeltinvesteringen]]),_xlfn.XMATCH('SCENARIO 3 - Slechtste geval'!O95,CultCost05[[#Headers],[Geen]:[Waarde MIN]])),P95)</f>
        <v>0.08</v>
      </c>
      <c r="R95" s="80"/>
    </row>
    <row r="96" spans="8:18" s="28" customFormat="1" ht="18" thickTop="1" thickBot="1" x14ac:dyDescent="0.25">
      <c r="H96" s="189" t="str">
        <v>Plantmateriaal - totaal</v>
      </c>
      <c r="I96" s="180">
        <f>K95*10000</f>
        <v>9000</v>
      </c>
      <c r="J96" s="62"/>
      <c r="K96" s="176">
        <f>IF(ISBLANK(J96),I96,J96)</f>
        <v>9000</v>
      </c>
      <c r="L96" s="190" t="s">
        <v>48</v>
      </c>
      <c r="N96" s="79" t="str">
        <v>Afschrijvingstermijn - Investeringen perceel</v>
      </c>
      <c r="O96" s="69" t="s">
        <v>54</v>
      </c>
      <c r="P96" s="62"/>
      <c r="Q96" s="56" cm="1">
        <f t="array" ref="Q96">IF(ISBLANK(P96),INDEX(CultCost05[[#All],[Geen]:[Waarde MIN]],_xlfn.XMATCH('SCENARIO 3 - Slechtste geval'!N96,CultCost05[[#All],[Afschrijving &amp; aflossing teeltinvesteringen]]),_xlfn.XMATCH('SCENARIO 3 - Slechtste geval'!O96,CultCost05[[#Headers],[Geen]:[Waarde MIN]])),P96)</f>
        <v>20</v>
      </c>
      <c r="R96" s="80" t="s">
        <v>59</v>
      </c>
    </row>
    <row r="97" spans="2:36" s="28" customFormat="1" ht="18" thickTop="1" thickBot="1" x14ac:dyDescent="0.25">
      <c r="H97" s="189" t="str">
        <v>Plantkosten - machine</v>
      </c>
      <c r="I97" s="69" t="s">
        <v>52</v>
      </c>
      <c r="J97" s="62"/>
      <c r="K97" s="176" cm="1">
        <f t="array" ref="K97">IF(ISBLANK(J97),INDEX(CultInvest02[[#Headers],[#Data],[Geen]:[Waarde MIN]],_xlfn.XMATCH('SCENARIO 3 - Slechtste geval'!H97,CultInvest02[[#Headers],[#Data],[Planten / Zaaien]]),_xlfn.XMATCH('SCENARIO 3 - Slechtste geval'!I97,CultInvest02[[#Headers],[Geen]:[Waarde MIN]])),J97)</f>
        <v>600</v>
      </c>
      <c r="L97" s="190" t="s">
        <v>48</v>
      </c>
      <c r="N97" s="79" t="str">
        <v>Teeltinvesteringen perceel - jaarlijkse afschrijving</v>
      </c>
      <c r="O97" s="56">
        <f>-PMT(Q95,Q96,K73)</f>
        <v>2077.7850599922726</v>
      </c>
      <c r="P97" s="62"/>
      <c r="Q97" s="176">
        <f>IF(ISBLANK(P97),O97,P97)</f>
        <v>2077.7850599922726</v>
      </c>
      <c r="R97" s="80" t="s">
        <v>48</v>
      </c>
      <c r="U97" s="38"/>
    </row>
    <row r="98" spans="2:36" s="28" customFormat="1" ht="18" thickTop="1" thickBot="1" x14ac:dyDescent="0.25">
      <c r="H98" s="187" t="str">
        <v>Plantkosten - uren per hectare</v>
      </c>
      <c r="I98" s="69" t="s">
        <v>52</v>
      </c>
      <c r="J98" s="62"/>
      <c r="K98" s="178" cm="1">
        <f t="array" ref="K98">IF(ISBLANK(J98),INDEX(CultInvest02[[#Headers],[#Data],[Geen]:[Waarde MIN]],_xlfn.XMATCH('SCENARIO 3 - Slechtste geval'!H98,CultInvest02[[#Headers],[#Data],[Planten / Zaaien]]),_xlfn.XMATCH('SCENARIO 3 - Slechtste geval'!I98,CultInvest02[[#Headers],[Geen]:[Waarde MIN]])),J98)</f>
        <v>40</v>
      </c>
      <c r="L98" s="185" t="s">
        <v>69</v>
      </c>
      <c r="N98" s="79" t="str">
        <v>Afschrijvingstermijn - Plant/zaaikosten</v>
      </c>
      <c r="O98" s="69" t="s">
        <v>54</v>
      </c>
      <c r="P98" s="62"/>
      <c r="Q98" s="56" cm="1">
        <f t="array" ref="Q98">IF(ISBLANK(P98),INDEX(CultCost05[[#All],[Geen]:[Waarde MIN]],_xlfn.XMATCH('SCENARIO 3 - Slechtste geval'!N98,CultCost05[[#All],[Afschrijving &amp; aflossing teeltinvesteringen]]),_xlfn.XMATCH('SCENARIO 3 - Slechtste geval'!O98,CultCost05[[#Headers],[Geen]:[Waarde MIN]])),P98)</f>
        <v>10</v>
      </c>
      <c r="R98" s="80" t="s">
        <v>59</v>
      </c>
    </row>
    <row r="99" spans="2:36" s="28" customFormat="1" ht="18" thickTop="1" thickBot="1" x14ac:dyDescent="0.25">
      <c r="H99" s="187" t="str">
        <v>Plantkosten - prijs per uur</v>
      </c>
      <c r="I99" s="69" t="s">
        <v>52</v>
      </c>
      <c r="J99" s="62"/>
      <c r="K99" s="178" cm="1">
        <f t="array" ref="K99">IF(ISBLANK(J99),INDEX(CultInvest02[[#Headers],[#Data],[Geen]:[Waarde MIN]],_xlfn.XMATCH('SCENARIO 3 - Slechtste geval'!H99,CultInvest02[[#Headers],[#Data],[Planten / Zaaien]]),_xlfn.XMATCH('SCENARIO 3 - Slechtste geval'!I99,CultInvest02[[#Headers],[Geen]:[Waarde MIN]])),J99)</f>
        <v>30</v>
      </c>
      <c r="L99" s="185" t="s">
        <v>57</v>
      </c>
      <c r="N99" s="79" t="str">
        <v>Plant/zaaikosten - jaarlijkse afschrijving</v>
      </c>
      <c r="O99" s="56">
        <f>-PMT(Q95,Q98,K92)</f>
        <v>1634.1083435634321</v>
      </c>
      <c r="P99" s="62"/>
      <c r="Q99" s="176">
        <f>IF(ISBLANK(P99),O99,P99)</f>
        <v>1634.1083435634321</v>
      </c>
      <c r="R99" s="80" t="s">
        <v>48</v>
      </c>
    </row>
    <row r="100" spans="2:36" s="28" customFormat="1" ht="18" thickTop="1" thickBot="1" x14ac:dyDescent="0.25">
      <c r="H100" s="189" t="str">
        <v>Plantkosten - arbeid totaal</v>
      </c>
      <c r="I100" s="56">
        <f>K98*K99</f>
        <v>1200</v>
      </c>
      <c r="J100" s="62"/>
      <c r="K100" s="176">
        <f>IF(ISBLANK(J100),I100,J100)</f>
        <v>1200</v>
      </c>
      <c r="L100" s="190" t="s">
        <v>48</v>
      </c>
      <c r="N100" s="79"/>
      <c r="O100" s="56"/>
      <c r="P100" s="176"/>
      <c r="Q100" s="176"/>
      <c r="R100" s="80"/>
    </row>
    <row r="101" spans="2:36" s="28" customFormat="1" ht="18" thickTop="1" thickBot="1" x14ac:dyDescent="0.25">
      <c r="H101" s="189" t="str">
        <v>Zaaigoed</v>
      </c>
      <c r="I101" s="69" t="s">
        <v>63</v>
      </c>
      <c r="J101" s="62"/>
      <c r="K101" s="176" cm="1">
        <f t="array" ref="K101">IF(ISBLANK(J101),INDEX(CultInvest02[[#Headers],[#Data],[Geen]:[Waarde MIN]],_xlfn.XMATCH('SCENARIO 3 - Slechtste geval'!H101,CultInvest02[[#Headers],[#Data],[Planten / Zaaien]]),_xlfn.XMATCH('SCENARIO 3 - Slechtste geval'!I101,CultInvest02[[#Headers],[Geen]:[Waarde MIN]])),J101)</f>
        <v>0</v>
      </c>
      <c r="L101" s="190" t="s">
        <v>48</v>
      </c>
      <c r="N101" s="79"/>
      <c r="O101" s="56"/>
      <c r="P101" s="176"/>
      <c r="Q101" s="176"/>
      <c r="R101" s="80"/>
    </row>
    <row r="102" spans="2:36" s="28" customFormat="1" ht="18" thickTop="1" thickBot="1" x14ac:dyDescent="0.25">
      <c r="H102" s="189" t="str">
        <v>Zaaikosten - machine + arbeid</v>
      </c>
      <c r="I102" s="69" t="s">
        <v>63</v>
      </c>
      <c r="J102" s="62"/>
      <c r="K102" s="176" cm="1">
        <f t="array" ref="K102">IF(ISBLANK(J102),INDEX(CultInvest02[[#Headers],[#Data],[Geen]:[Waarde MIN]],_xlfn.XMATCH('SCENARIO 3 - Slechtste geval'!H102,CultInvest02[[#Headers],[#Data],[Planten / Zaaien]]),_xlfn.XMATCH('SCENARIO 3 - Slechtste geval'!I102,CultInvest02[[#Headers],[Geen]:[Waarde MIN]])),J102)</f>
        <v>0</v>
      </c>
      <c r="L102" s="190" t="s">
        <v>48</v>
      </c>
      <c r="N102" s="79"/>
      <c r="O102" s="56"/>
      <c r="P102" s="176"/>
      <c r="Q102" s="176"/>
      <c r="R102" s="80"/>
    </row>
    <row r="103" spans="2:36" s="28" customFormat="1" ht="17" thickTop="1" x14ac:dyDescent="0.2">
      <c r="H103" s="81"/>
      <c r="I103" s="172"/>
      <c r="J103" s="172"/>
      <c r="K103" s="172"/>
      <c r="L103" s="82"/>
      <c r="N103" s="81"/>
      <c r="O103" s="172"/>
      <c r="P103" s="172"/>
      <c r="Q103" s="172"/>
      <c r="R103" s="82"/>
    </row>
    <row r="104" spans="2:36" s="28" customFormat="1" x14ac:dyDescent="0.2"/>
    <row r="105" spans="2:36" s="106" customFormat="1" ht="17" x14ac:dyDescent="0.2">
      <c r="B105" s="105" t="s">
        <v>70</v>
      </c>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row>
    <row r="106" spans="2:36" x14ac:dyDescent="0.2">
      <c r="B106" s="28"/>
      <c r="I106" s="28"/>
    </row>
    <row r="107" spans="2:36" x14ac:dyDescent="0.2">
      <c r="B107" s="87" t="s">
        <v>71</v>
      </c>
      <c r="C107" s="173"/>
      <c r="D107" s="173"/>
      <c r="E107" s="124"/>
      <c r="F107" s="85"/>
      <c r="H107" s="87" t="s">
        <v>72</v>
      </c>
      <c r="I107" s="173"/>
      <c r="J107" s="173"/>
      <c r="K107" s="124"/>
      <c r="L107" s="85"/>
      <c r="N107" s="198" t="s">
        <v>73</v>
      </c>
      <c r="O107" s="173"/>
      <c r="P107" s="173"/>
      <c r="Q107" s="173"/>
      <c r="R107" s="85"/>
    </row>
    <row r="108" spans="2:36" ht="17" thickBot="1" x14ac:dyDescent="0.25">
      <c r="B108" s="125"/>
      <c r="C108" s="171"/>
      <c r="D108" s="171"/>
      <c r="E108" s="56"/>
      <c r="F108" s="80"/>
      <c r="H108" s="125"/>
      <c r="I108" s="171"/>
      <c r="J108" s="171"/>
      <c r="K108" s="56"/>
      <c r="L108" s="80"/>
      <c r="N108" s="217"/>
      <c r="O108" s="171"/>
      <c r="P108" s="171"/>
      <c r="Q108" s="171"/>
      <c r="R108" s="80"/>
    </row>
    <row r="109" spans="2:36" ht="18" thickTop="1" thickBot="1" x14ac:dyDescent="0.25">
      <c r="B109" s="109" t="s">
        <v>74</v>
      </c>
      <c r="C109" s="503" t="s">
        <v>46</v>
      </c>
      <c r="D109" s="503"/>
      <c r="E109" s="503" t="s">
        <v>47</v>
      </c>
      <c r="F109" s="504"/>
      <c r="H109" s="89" t="s">
        <v>395</v>
      </c>
      <c r="I109" s="171"/>
      <c r="J109" s="171"/>
      <c r="K109" s="56"/>
      <c r="L109" s="80"/>
      <c r="N109" s="79" t="s">
        <v>73</v>
      </c>
      <c r="O109" s="69" t="s">
        <v>167</v>
      </c>
      <c r="P109" s="171"/>
      <c r="Q109" s="171"/>
      <c r="R109" s="80"/>
    </row>
    <row r="110" spans="2:36" ht="17" thickTop="1" x14ac:dyDescent="0.2">
      <c r="B110" s="79" t="str">
        <f>H113</f>
        <v>Blad &amp; stengelmateriaal - februari/maart</v>
      </c>
      <c r="C110" s="221">
        <f>K113</f>
        <v>8.6999999999999993</v>
      </c>
      <c r="D110" s="171" t="s">
        <v>77</v>
      </c>
      <c r="E110" s="55">
        <f>C110*$E$41</f>
        <v>434.99999999999994</v>
      </c>
      <c r="F110" s="80" t="s">
        <v>78</v>
      </c>
      <c r="H110" s="125"/>
      <c r="I110" s="171"/>
      <c r="J110" s="171"/>
      <c r="K110" s="56"/>
      <c r="L110" s="80"/>
      <c r="N110" s="79"/>
      <c r="O110" s="171"/>
      <c r="P110" s="171"/>
      <c r="Q110" s="171"/>
      <c r="R110" s="80"/>
    </row>
    <row r="111" spans="2:36" ht="17" thickBot="1" x14ac:dyDescent="0.25">
      <c r="B111" s="79" t="str">
        <f>H116</f>
        <v>Pluis</v>
      </c>
      <c r="C111" s="221">
        <f>K116</f>
        <v>0.3</v>
      </c>
      <c r="D111" s="171" t="s">
        <v>77</v>
      </c>
      <c r="E111" s="55">
        <f>C111*$E$41</f>
        <v>15</v>
      </c>
      <c r="F111" s="80" t="s">
        <v>78</v>
      </c>
      <c r="H111" s="109" t="str" cm="1">
        <f t="array" ref="H111:H116">IF(H109='DATA - Variabelen &amp; waarden'!B158,GroteLisdodde[[#All],[Gewasopbrengsten grote lisdodde]],KleineLisdodde[[#All],[Gewasopbrengsten kleine lisdodde]])</f>
        <v>Gewasopbrengsten kleine lisdodde</v>
      </c>
      <c r="I111" s="90" t="s">
        <v>25</v>
      </c>
      <c r="J111" s="92" t="s">
        <v>26</v>
      </c>
      <c r="K111" s="56"/>
      <c r="L111" s="80"/>
      <c r="N111" s="109" t="s">
        <v>79</v>
      </c>
      <c r="O111" s="90" t="s">
        <v>25</v>
      </c>
      <c r="P111" s="92" t="s">
        <v>26</v>
      </c>
      <c r="Q111" s="171"/>
      <c r="R111" s="80"/>
    </row>
    <row r="112" spans="2:36" ht="18" thickTop="1" thickBot="1" x14ac:dyDescent="0.25">
      <c r="B112" s="79"/>
      <c r="C112" s="171"/>
      <c r="D112" s="171"/>
      <c r="E112" s="67"/>
      <c r="F112" s="80"/>
      <c r="H112" s="189" t="str">
        <v>Gehele plant - februari/maart</v>
      </c>
      <c r="I112" s="69" t="s">
        <v>51</v>
      </c>
      <c r="J112" s="62"/>
      <c r="K112" s="219" cm="1">
        <f t="array" ref="K112">IF(ISBLANK(J112),IF(H109='DATA - Variabelen &amp; waarden'!$B$158,INDEX(GroteLisdodde[[#All],[Geen]:[Waarde MIN]],_xlfn.XMATCH('SCENARIO 3 - Slechtste geval'!H112,GroteLisdodde[[#All],[Gewasopbrengsten grote lisdodde]]),_xlfn.XMATCH('SCENARIO 3 - Slechtste geval'!I112,GroteLisdodde[[#Headers],[Geen]:[Waarde MIN]])),INDEX(KleineLisdodde[[#All],[Geen]:[Waarde MIN]],_xlfn.XMATCH('SCENARIO 3 - Slechtste geval'!H112,KleineLisdodde[[#All],[Gewasopbrengsten kleine lisdodde]]),_xlfn.XMATCH('SCENARIO 3 - Slechtste geval'!I112,KleineLisdodde[[#Headers],[Geen]:[Waarde MIN]]))),'SCENARIO 3 - Slechtste geval'!J112)</f>
        <v>9</v>
      </c>
      <c r="L112" s="80" t="s">
        <v>77</v>
      </c>
      <c r="N112" s="187" t="s">
        <v>80</v>
      </c>
      <c r="O112" s="197">
        <f>K112*$D$41</f>
        <v>450</v>
      </c>
      <c r="P112" s="234"/>
      <c r="Q112" s="178">
        <f>IF(O109="Ja",IF(ISBLANK(P112),O112,P112),0)</f>
        <v>450</v>
      </c>
      <c r="R112" s="185" t="s">
        <v>81</v>
      </c>
    </row>
    <row r="113" spans="2:20" ht="18" thickTop="1" thickBot="1" x14ac:dyDescent="0.25">
      <c r="B113" s="109" t="s">
        <v>82</v>
      </c>
      <c r="C113" s="503" t="s">
        <v>46</v>
      </c>
      <c r="D113" s="503"/>
      <c r="E113" s="503" t="s">
        <v>47</v>
      </c>
      <c r="F113" s="504"/>
      <c r="H113" s="189" t="str">
        <v>Blad &amp; stengelmateriaal - februari/maart</v>
      </c>
      <c r="I113" s="180"/>
      <c r="J113" s="180"/>
      <c r="K113" s="219">
        <f>K112-K116</f>
        <v>8.6999999999999993</v>
      </c>
      <c r="L113" s="80" t="s">
        <v>77</v>
      </c>
      <c r="N113" s="187" t="str">
        <f>'DATA - Variabelen &amp; waarden'!B274</f>
        <v>Drogestofgehalte input (feb/mrt)</v>
      </c>
      <c r="O113" s="69" t="s">
        <v>51</v>
      </c>
      <c r="P113" s="70"/>
      <c r="Q113" s="214" cm="1">
        <f t="array" ref="Q113">IF(ISBLANK(P113),INDEX(VoorDroog[[#All],[Geen]:[Waarde MIN]],_xlfn.XMATCH('SCENARIO 3 - Slechtste geval'!N113,VoorDroog[[#All],[Voordrogen]]),_xlfn.XMATCH('SCENARIO 3 - Slechtste geval'!O113,VoorDroog[[#Headers],[Geen]:[Waarde MIN]])),P113)</f>
        <v>0.5</v>
      </c>
      <c r="R113" s="185" t="s">
        <v>83</v>
      </c>
    </row>
    <row r="114" spans="2:20" ht="18" thickTop="1" thickBot="1" x14ac:dyDescent="0.25">
      <c r="B114" s="79" t="str">
        <f>H121</f>
        <v>Oogstkosten - Gehele plant/blad &amp; stengelmateriaal</v>
      </c>
      <c r="C114" s="223">
        <f>K121</f>
        <v>1450</v>
      </c>
      <c r="D114" s="195" t="s">
        <v>48</v>
      </c>
      <c r="E114" s="223">
        <f>C114*$E$41</f>
        <v>72500</v>
      </c>
      <c r="F114" s="190" t="s">
        <v>49</v>
      </c>
      <c r="H114" s="187" t="str">
        <v>Pluis - gewicht pluis per aar in grammen</v>
      </c>
      <c r="I114" s="69" t="s">
        <v>51</v>
      </c>
      <c r="J114" s="62"/>
      <c r="K114" s="178" cm="1">
        <f t="array" ref="K114">IF(ISBLANK(J114),IF(H109='DATA - Variabelen &amp; waarden'!$B$158,INDEX(GroteLisdodde[[#All],[Geen]:[Waarde MIN]],_xlfn.XMATCH('SCENARIO 3 - Slechtste geval'!H114,GroteLisdodde[[#All],[Gewasopbrengsten grote lisdodde]]),_xlfn.XMATCH('SCENARIO 3 - Slechtste geval'!I114,GroteLisdodde[[#Headers],[Geen]:[Waarde MIN]])),INDEX(KleineLisdodde[[#All],[Geen]:[Waarde MIN]],_xlfn.XMATCH('SCENARIO 3 - Slechtste geval'!H114,KleineLisdodde[[#All],[Gewasopbrengsten kleine lisdodde]]),_xlfn.XMATCH('SCENARIO 3 - Slechtste geval'!I114,KleineLisdodde[[#Headers],[Geen]:[Waarde MIN]]))),'SCENARIO 3 - Slechtste geval'!J114)</f>
        <v>7.5</v>
      </c>
      <c r="L114" s="185" t="s">
        <v>84</v>
      </c>
      <c r="N114" s="207" t="s">
        <v>85</v>
      </c>
      <c r="O114" s="104"/>
      <c r="P114" s="104"/>
      <c r="Q114" s="176">
        <f>IFERROR(Q112/Q113,0)</f>
        <v>900</v>
      </c>
      <c r="R114" s="190" t="s">
        <v>86</v>
      </c>
    </row>
    <row r="115" spans="2:20" ht="18" thickTop="1" thickBot="1" x14ac:dyDescent="0.25">
      <c r="B115" s="79" t="str">
        <f>H131</f>
        <v>Opslag - Plant/blad &amp; stengelmateriaal</v>
      </c>
      <c r="C115" s="223">
        <f>IFERROR(E115/$E$41,0)</f>
        <v>121.79999999999998</v>
      </c>
      <c r="D115" s="195" t="s">
        <v>48</v>
      </c>
      <c r="E115" s="223">
        <f>SUM(K130,K132)*E110</f>
        <v>6089.9999999999991</v>
      </c>
      <c r="F115" s="190" t="s">
        <v>49</v>
      </c>
      <c r="H115" s="187" t="str">
        <v>Pluis - aren per m2</v>
      </c>
      <c r="I115" s="69" t="s">
        <v>51</v>
      </c>
      <c r="J115" s="62"/>
      <c r="K115" s="178" cm="1">
        <f t="array" ref="K115">IF(ISBLANK(J115),IF(H109='DATA - Variabelen &amp; waarden'!$B$158,INDEX(GroteLisdodde[[#All],[Geen]:[Waarde MIN]],_xlfn.XMATCH('SCENARIO 3 - Slechtste geval'!H115,GroteLisdodde[[#All],[Gewasopbrengsten grote lisdodde]]),_xlfn.XMATCH('SCENARIO 3 - Slechtste geval'!I115,GroteLisdodde[[#Headers],[Geen]:[Waarde MIN]])),INDEX(KleineLisdodde[[#All],[Geen]:[Waarde MIN]],_xlfn.XMATCH('SCENARIO 3 - Slechtste geval'!H115,KleineLisdodde[[#All],[Gewasopbrengsten kleine lisdodde]]),_xlfn.XMATCH('SCENARIO 3 - Slechtste geval'!I115,KleineLisdodde[[#Headers],[Geen]:[Waarde MIN]]))),'SCENARIO 3 - Slechtste geval'!J115)</f>
        <v>4</v>
      </c>
      <c r="L115" s="185" t="s">
        <v>87</v>
      </c>
      <c r="N115" s="187" t="str">
        <f>'DATA - Variabelen &amp; waarden'!B275</f>
        <v xml:space="preserve">Drogestofgehalte output </v>
      </c>
      <c r="O115" s="69" t="s">
        <v>54</v>
      </c>
      <c r="P115" s="62"/>
      <c r="Q115" s="214" cm="1">
        <f t="array" ref="Q115">IF(ISBLANK(P115),INDEX(VoorDroog[[#All],[Geen]:[Waarde MIN]],_xlfn.XMATCH('SCENARIO 3 - Slechtste geval'!N115,VoorDroog[[#All],[Voordrogen]]),_xlfn.XMATCH('SCENARIO 3 - Slechtste geval'!O115,VoorDroog[[#Headers],[Geen]:[Waarde MIN]])),P115)</f>
        <v>0.9</v>
      </c>
      <c r="R115" s="185" t="s">
        <v>83</v>
      </c>
    </row>
    <row r="116" spans="2:20" ht="17" thickTop="1" x14ac:dyDescent="0.2">
      <c r="B116" s="79" t="str">
        <f>H138</f>
        <v>Oogstkosten - Pluis</v>
      </c>
      <c r="C116" s="223">
        <f>K138</f>
        <v>1260</v>
      </c>
      <c r="D116" s="195" t="s">
        <v>48</v>
      </c>
      <c r="E116" s="223">
        <f>C116*$E$41</f>
        <v>63000</v>
      </c>
      <c r="F116" s="190" t="s">
        <v>49</v>
      </c>
      <c r="H116" s="79" t="str">
        <v>Pluis</v>
      </c>
      <c r="I116" s="221">
        <f>K114*K115*10000/1000000</f>
        <v>0.3</v>
      </c>
      <c r="J116" s="62"/>
      <c r="K116" s="220">
        <f>IF(ISBLANK(J116),I116,J116)</f>
        <v>0.3</v>
      </c>
      <c r="L116" s="80" t="s">
        <v>77</v>
      </c>
      <c r="N116" s="207" t="s">
        <v>88</v>
      </c>
      <c r="O116" s="195"/>
      <c r="P116" s="195"/>
      <c r="Q116" s="223">
        <f>IFERROR(IF($Q$113&lt;$Q$115,Q112/Q115,0),0)</f>
        <v>500</v>
      </c>
      <c r="R116" s="190" t="s">
        <v>86</v>
      </c>
    </row>
    <row r="117" spans="2:20" s="395" customFormat="1" ht="17" thickBot="1" x14ac:dyDescent="0.25">
      <c r="B117" s="79" t="str">
        <f>H148</f>
        <v>Opslag - Pluis</v>
      </c>
      <c r="C117" s="223">
        <f>IFERROR(E117/$E$41,0)</f>
        <v>13.574999999999999</v>
      </c>
      <c r="D117" s="195" t="s">
        <v>48</v>
      </c>
      <c r="E117" s="223">
        <f>SUM(K147,K149)*E111</f>
        <v>678.75</v>
      </c>
      <c r="F117" s="190" t="s">
        <v>49</v>
      </c>
      <c r="H117" s="227"/>
      <c r="I117" s="228"/>
      <c r="J117" s="228"/>
      <c r="K117" s="229"/>
      <c r="L117" s="230"/>
      <c r="N117" s="233" t="s">
        <v>89</v>
      </c>
      <c r="O117" s="224"/>
      <c r="P117" s="224"/>
      <c r="Q117" s="244">
        <f>IF(Q113&lt;Q115,Q114-Q116,0)</f>
        <v>400</v>
      </c>
      <c r="R117" s="225" t="s">
        <v>86</v>
      </c>
    </row>
    <row r="118" spans="2:20" ht="18" thickTop="1" thickBot="1" x14ac:dyDescent="0.25">
      <c r="B118" s="245" t="s">
        <v>90</v>
      </c>
      <c r="C118" s="223">
        <f>IFERROR(E118/$E$41,0)</f>
        <v>4134</v>
      </c>
      <c r="D118" s="247" t="s">
        <v>48</v>
      </c>
      <c r="E118" s="246">
        <f>Q141</f>
        <v>206700</v>
      </c>
      <c r="F118" s="248" t="s">
        <v>49</v>
      </c>
      <c r="N118" s="199" t="s">
        <v>91</v>
      </c>
      <c r="O118" s="69" t="s">
        <v>52</v>
      </c>
      <c r="P118" s="242"/>
      <c r="Q118" s="68" cm="1">
        <f t="array" ref="Q118">IF(ISBLANK(P118),_xlfn.XLOOKUP(O118,Tabel37[[#Headers],[Geen]:[Waarde MIN]],'DATA - Variabelen &amp; waarden'!D382:G382,"Selecteer waarde"),P118)</f>
        <v>10</v>
      </c>
      <c r="R118" s="190" t="s">
        <v>92</v>
      </c>
      <c r="T118" s="28"/>
    </row>
    <row r="119" spans="2:20" ht="17" thickTop="1" x14ac:dyDescent="0.2">
      <c r="B119" s="118" t="s">
        <v>93</v>
      </c>
      <c r="C119" s="249">
        <f>SUM(C114:C118)</f>
        <v>6979.375</v>
      </c>
      <c r="D119" s="249" t="s">
        <v>48</v>
      </c>
      <c r="E119" s="249">
        <f>SUM(E114:E118)</f>
        <v>348968.75</v>
      </c>
      <c r="F119" s="250" t="s">
        <v>49</v>
      </c>
      <c r="H119" s="345" t="s">
        <v>94</v>
      </c>
      <c r="I119" s="347"/>
      <c r="J119" s="347"/>
      <c r="K119" s="372"/>
      <c r="L119" s="349"/>
      <c r="N119" s="79"/>
      <c r="O119" s="171"/>
      <c r="P119" s="171"/>
      <c r="Q119" s="171"/>
      <c r="R119" s="80"/>
    </row>
    <row r="120" spans="2:20" x14ac:dyDescent="0.2">
      <c r="H120" s="352"/>
      <c r="I120" s="171"/>
      <c r="J120" s="171"/>
      <c r="K120" s="56"/>
      <c r="L120" s="373"/>
      <c r="N120" s="109" t="s">
        <v>95</v>
      </c>
      <c r="O120" s="90" t="s">
        <v>25</v>
      </c>
      <c r="P120" s="92" t="s">
        <v>26</v>
      </c>
      <c r="Q120" s="171"/>
      <c r="R120" s="80"/>
    </row>
    <row r="121" spans="2:20" ht="17" thickBot="1" x14ac:dyDescent="0.25">
      <c r="H121" s="387" t="s">
        <v>643</v>
      </c>
      <c r="I121" s="90" t="s">
        <v>25</v>
      </c>
      <c r="J121" s="92" t="s">
        <v>26</v>
      </c>
      <c r="K121" s="54">
        <f>SUM(K127,K124)</f>
        <v>1450</v>
      </c>
      <c r="L121" s="374" t="s">
        <v>48</v>
      </c>
      <c r="N121" s="187" t="s">
        <v>96</v>
      </c>
      <c r="O121" s="104"/>
      <c r="P121" s="258">
        <v>85</v>
      </c>
      <c r="Q121" s="104">
        <f>P121</f>
        <v>85</v>
      </c>
      <c r="R121" s="185" t="s">
        <v>97</v>
      </c>
    </row>
    <row r="122" spans="2:20" ht="18" thickTop="1" thickBot="1" x14ac:dyDescent="0.25">
      <c r="F122" s="28"/>
      <c r="H122" s="383" t="s">
        <v>411</v>
      </c>
      <c r="I122" s="69" t="s">
        <v>52</v>
      </c>
      <c r="J122" s="62"/>
      <c r="K122" s="178" cm="1">
        <f t="array" ref="K122">IF(ISBLANK(J122),INDEX(HarvestCost01[[#All],[Geen]:[Waarde MIN]],_xlfn.XMATCH('SCENARIO 3 - Slechtste geval'!H122,HarvestCost01[[#All],[Oogst - tarief - Gehele plant/blad &amp; stengelmateriaal]]),_xlfn.XMATCH('SCENARIO 3 - Slechtste geval'!I122,HarvestCost01[[#Headers],[Geen]:[Waarde MIN]])),J122)</f>
        <v>175</v>
      </c>
      <c r="L122" s="378" t="s">
        <v>57</v>
      </c>
      <c r="N122" s="237" t="s">
        <v>99</v>
      </c>
      <c r="O122" s="239" t="s">
        <v>52</v>
      </c>
      <c r="P122" s="258"/>
      <c r="Q122" s="236" cm="1">
        <f t="array" ref="Q122">IF(ISBLANK(P122),INDEX(ProcesCost01[[#All],[Geen]:[Waarde MIN]],_xlfn.XMATCH('SCENARIO 3 - Slechtste geval'!N122,ProcesCost01[[#All],[Transportkosten]]),_xlfn.XMATCH('SCENARIO 3 - Slechtste geval'!O122,ProcesCost01[[#Headers],[Geen]:[Waarde MIN]])),P122)</f>
        <v>0.05</v>
      </c>
      <c r="R122" s="185" t="s">
        <v>100</v>
      </c>
    </row>
    <row r="123" spans="2:20" ht="18" thickTop="1" thickBot="1" x14ac:dyDescent="0.25">
      <c r="H123" s="376" t="s">
        <v>642</v>
      </c>
      <c r="I123" s="69" t="s">
        <v>52</v>
      </c>
      <c r="J123" s="62"/>
      <c r="K123" s="385" cm="1">
        <f t="array" ref="K123">IF(ISBLANK(J123),INDEX('DATA - Variabelen &amp; waarden'!D189:G198,_xlfn.XMATCH('SCENARIO 3 - Slechtste geval'!H122,'DATA - Variabelen &amp; waarden'!B189:B198),_xlfn.XMATCH('SCENARIO 3 - Slechtste geval'!I123,'DATA - Variabelen &amp; waarden'!D189:G189)),J123)</f>
        <v>5</v>
      </c>
      <c r="L123" s="386" t="s">
        <v>55</v>
      </c>
      <c r="N123" s="207" t="s">
        <v>101</v>
      </c>
      <c r="O123" s="171"/>
      <c r="P123" s="62"/>
      <c r="Q123" s="176">
        <f>IF(ISBLANK(P123),IF($Q$113&lt;$Q$115,Q121*Q122*Q114,0),P123)</f>
        <v>3825</v>
      </c>
      <c r="R123" s="80" t="s">
        <v>102</v>
      </c>
    </row>
    <row r="124" spans="2:20" ht="18" thickTop="1" thickBot="1" x14ac:dyDescent="0.25">
      <c r="H124" s="384" t="s">
        <v>641</v>
      </c>
      <c r="I124" s="370">
        <f>K122*K123</f>
        <v>875</v>
      </c>
      <c r="J124" s="62"/>
      <c r="K124" s="176">
        <f>IF(ISBLANK(J124),I124,J124)</f>
        <v>875</v>
      </c>
      <c r="L124" s="342" t="s">
        <v>48</v>
      </c>
      <c r="N124" s="200"/>
      <c r="O124" s="171"/>
      <c r="P124" s="171"/>
      <c r="Q124" s="171"/>
      <c r="R124" s="80"/>
    </row>
    <row r="125" spans="2:20" ht="18" thickTop="1" thickBot="1" x14ac:dyDescent="0.25">
      <c r="H125" s="376" t="str">
        <f>HarvestCost11[[#Headers],[Veld &amp; opslaglogistiek - tarief - Gehele plant/blad &amp; stengelmateriaal]]</f>
        <v>Veld &amp; opslaglogistiek - tarief - Gehele plant/blad &amp; stengelmateriaal</v>
      </c>
      <c r="I125" s="69" t="s">
        <v>52</v>
      </c>
      <c r="J125" s="62"/>
      <c r="K125" s="385" cm="1">
        <f t="array" ref="K125">IF(ISBLANK(J125),_xlfn.XLOOKUP(I125,HarvestCost11[[#Headers],[Geen]:[Waarde MIN]],HarvestCost11[[#Totals],[Geen]:[Waarde MIN]]),J125)</f>
        <v>115</v>
      </c>
      <c r="L125" s="386" t="s">
        <v>57</v>
      </c>
      <c r="N125" s="187" t="s">
        <v>105</v>
      </c>
      <c r="O125" s="104"/>
      <c r="P125" s="258">
        <v>85</v>
      </c>
      <c r="Q125" s="104">
        <f>P125</f>
        <v>85</v>
      </c>
      <c r="R125" s="185" t="s">
        <v>97</v>
      </c>
    </row>
    <row r="126" spans="2:20" ht="18" thickTop="1" thickBot="1" x14ac:dyDescent="0.25">
      <c r="H126" s="376" t="s">
        <v>640</v>
      </c>
      <c r="I126" s="69" t="s">
        <v>52</v>
      </c>
      <c r="J126" s="62"/>
      <c r="K126" s="385" cm="1">
        <f t="array" ref="K126">IF(ISBLANK(J126),INDEX('DATA - Variabelen &amp; waarden'!D189:G198,_xlfn.XMATCH('SCENARIO 3 - Slechtste geval'!H122,'DATA - Variabelen &amp; waarden'!B189:B198),_xlfn.XMATCH('SCENARIO 3 - Slechtste geval'!I126,'DATA - Variabelen &amp; waarden'!D189:G189)),J126)</f>
        <v>5</v>
      </c>
      <c r="L126" s="386" t="s">
        <v>55</v>
      </c>
      <c r="N126" s="237" t="s">
        <v>99</v>
      </c>
      <c r="O126" s="239" t="s">
        <v>52</v>
      </c>
      <c r="P126" s="258"/>
      <c r="Q126" s="236" cm="1">
        <f t="array" ref="Q126">IF(ISBLANK(P126),INDEX(ProcesCost01[[#All],[Geen]:[Waarde MIN]],_xlfn.XMATCH('SCENARIO 3 - Slechtste geval'!N126,ProcesCost01[[#All],[Transportkosten]]),_xlfn.XMATCH('SCENARIO 3 - Slechtste geval'!O126,ProcesCost01[[#Headers],[Geen]:[Waarde MIN]])),P126)</f>
        <v>0.05</v>
      </c>
      <c r="R126" s="185" t="s">
        <v>100</v>
      </c>
    </row>
    <row r="127" spans="2:20" ht="17" thickTop="1" x14ac:dyDescent="0.2">
      <c r="H127" s="384" t="s">
        <v>639</v>
      </c>
      <c r="I127" s="370">
        <f>K125*K126</f>
        <v>575</v>
      </c>
      <c r="J127" s="62"/>
      <c r="K127" s="176">
        <f>IF(ISBLANK(J127),I127,J127)</f>
        <v>575</v>
      </c>
      <c r="L127" s="342" t="s">
        <v>48</v>
      </c>
      <c r="N127" s="207" t="s">
        <v>107</v>
      </c>
      <c r="O127" s="171"/>
      <c r="P127" s="62"/>
      <c r="Q127" s="176">
        <f>IF(ISBLANK(P127),Q125*Q126*Q116,P127)</f>
        <v>2125</v>
      </c>
      <c r="R127" s="80" t="s">
        <v>102</v>
      </c>
    </row>
    <row r="128" spans="2:20" x14ac:dyDescent="0.2">
      <c r="H128" s="340"/>
      <c r="I128" s="341"/>
      <c r="J128" s="341"/>
      <c r="K128" s="370"/>
      <c r="L128" s="342"/>
      <c r="N128" s="200"/>
      <c r="O128" s="171"/>
      <c r="P128" s="171"/>
      <c r="Q128" s="171"/>
      <c r="R128" s="80"/>
    </row>
    <row r="129" spans="2:18" ht="17" thickBot="1" x14ac:dyDescent="0.25">
      <c r="H129" s="387" t="str">
        <f>Stock1[[#Headers],[Bewaarmethode - Plant/blad &amp; stengelmateriaal]]</f>
        <v>Bewaarmethode - Plant/blad &amp; stengelmateriaal</v>
      </c>
      <c r="I129" s="171"/>
      <c r="J129" s="171"/>
      <c r="K129" s="56"/>
      <c r="L129" s="373"/>
      <c r="N129" s="109" t="s">
        <v>111</v>
      </c>
      <c r="O129" s="90" t="s">
        <v>25</v>
      </c>
      <c r="P129" s="92" t="s">
        <v>26</v>
      </c>
      <c r="Q129" s="171"/>
      <c r="R129" s="80"/>
    </row>
    <row r="130" spans="2:18" ht="18" thickTop="1" thickBot="1" x14ac:dyDescent="0.25">
      <c r="H130" s="375" t="s">
        <v>429</v>
      </c>
      <c r="I130" s="69" t="s">
        <v>52</v>
      </c>
      <c r="J130" s="62"/>
      <c r="K130" s="56" cm="1">
        <f t="array" ref="K130">IF(ISBLANK(J130),INDEX(Stock1[[#All],[Geen]:[Waarde MIN]],_xlfn.XMATCH('SCENARIO 3 - Slechtste geval'!H130,Stock1[[#All],[Bewaarmethode - Plant/blad &amp; stengelmateriaal]]),_xlfn.XMATCH('SCENARIO 3 - Slechtste geval'!I130,Stock1[[#Headers],[Geen]:[Waarde MIN]])),J130)</f>
        <v>0</v>
      </c>
      <c r="L130" s="373" t="s">
        <v>104</v>
      </c>
      <c r="N130" s="237" t="s">
        <v>114</v>
      </c>
      <c r="O130" s="69" t="s">
        <v>52</v>
      </c>
      <c r="P130" s="77"/>
      <c r="Q130" s="240" cm="1">
        <f t="array" ref="Q130">IF(ISBLANK(P130),INDEX(DryingCost1[[#All],[Geen]:[Waarde MIN]],_xlfn.XMATCH('SCENARIO 3 - Slechtste geval'!N130,DryingCost1[[#All],[Drogen - Kosten]]),_xlfn.XMATCH('SCENARIO 3 - Slechtste geval'!O130,DryingCost1[[#Headers],[Geen]:[Waarde MIN]])),P130)</f>
        <v>500</v>
      </c>
      <c r="R130" s="185" t="s">
        <v>115</v>
      </c>
    </row>
    <row r="131" spans="2:18" ht="18" thickTop="1" thickBot="1" x14ac:dyDescent="0.25">
      <c r="H131" s="387" t="str">
        <f>Stock11[[#Headers],[Opslag - Plant/blad &amp; stengelmateriaal]]</f>
        <v>Opslag - Plant/blad &amp; stengelmateriaal</v>
      </c>
      <c r="I131" s="171"/>
      <c r="J131" s="171"/>
      <c r="K131" s="56"/>
      <c r="L131" s="373"/>
      <c r="N131" s="206" t="s">
        <v>117</v>
      </c>
      <c r="O131" s="69" t="s">
        <v>51</v>
      </c>
      <c r="P131" s="76"/>
      <c r="Q131" s="241" cm="1">
        <f t="array" ref="Q131">IF(ISBLANK(P131),INDEX(DryingCost11[[#All],[Geen]:[Waarde MIN]],_xlfn.XMATCH('SCENARIO 3 - Slechtste geval'!N130,DryingCost11[[#All],[Drogen - Producteffciency]]),_xlfn.XMATCH('SCENARIO 3 - Slechtste geval'!O131,DryingCost11[[#Headers],[Geen]:[Waarde MIN]])),P131)</f>
        <v>0.85</v>
      </c>
      <c r="R131" s="185" t="s">
        <v>58</v>
      </c>
    </row>
    <row r="132" spans="2:18" s="28" customFormat="1" ht="18" thickTop="1" thickBot="1" x14ac:dyDescent="0.25">
      <c r="B132"/>
      <c r="C132" s="203"/>
      <c r="D132" s="203"/>
      <c r="E132" s="203"/>
      <c r="F132" s="203"/>
      <c r="H132" s="375" t="s">
        <v>106</v>
      </c>
      <c r="I132" s="69" t="s">
        <v>52</v>
      </c>
      <c r="J132" s="62"/>
      <c r="K132" s="68" cm="1">
        <f t="array" ref="K132">IF(ISBLANK(J132),INDEX(Stock11[[#All],[Geen]:[Waarde MIN]],_xlfn.XMATCH('SCENARIO 3 - Slechtste geval'!H132,Stock11[[#All],[Opslag - Plant/blad &amp; stengelmateriaal]]),_xlfn.XMATCH('SCENARIO 3 - Slechtste geval'!I132,Stock11[[#Headers],[Geen]:[Waarde MIN]])),J132)</f>
        <v>14</v>
      </c>
      <c r="L132" s="373" t="s">
        <v>104</v>
      </c>
      <c r="N132" s="238" t="s">
        <v>111</v>
      </c>
      <c r="O132" s="171"/>
      <c r="P132" s="62"/>
      <c r="Q132" s="176">
        <f>IF(ISBLANK(P132),Q130*Q117,P132)</f>
        <v>200000</v>
      </c>
      <c r="R132" s="80" t="s">
        <v>102</v>
      </c>
    </row>
    <row r="133" spans="2:18" s="28" customFormat="1" ht="18" thickTop="1" thickBot="1" x14ac:dyDescent="0.25">
      <c r="B133"/>
      <c r="C133"/>
      <c r="D133"/>
      <c r="E133"/>
      <c r="F133"/>
      <c r="H133" s="377" t="s">
        <v>108</v>
      </c>
      <c r="I133" s="171"/>
      <c r="J133" s="171"/>
      <c r="K133" s="56"/>
      <c r="L133" s="373"/>
      <c r="N133" s="207" t="s">
        <v>118</v>
      </c>
      <c r="O133" s="171"/>
      <c r="P133" s="171"/>
      <c r="Q133" s="55">
        <f>Q116*Q131</f>
        <v>425</v>
      </c>
      <c r="R133" s="80" t="s">
        <v>86</v>
      </c>
    </row>
    <row r="134" spans="2:18" s="28" customFormat="1" ht="18" thickTop="1" thickBot="1" x14ac:dyDescent="0.25">
      <c r="B134"/>
      <c r="C134"/>
      <c r="D134"/>
      <c r="E134"/>
      <c r="F134"/>
      <c r="H134" s="375" t="s">
        <v>109</v>
      </c>
      <c r="I134" s="69" t="s">
        <v>54</v>
      </c>
      <c r="J134" s="62"/>
      <c r="K134" s="178" cm="1">
        <f t="array" ref="K134">IF(ISBLANK(J134),INDEX(StockBales[[#All],[Geen]:[Waarde MIN]],_xlfn.XMATCH(H134,StockBales[[#All],[DS inhoud balen ]]),_xlfn.XMATCH('SCENARIO 3 - Slechtste geval'!I134,StockBales[[#Headers],[Geen]:[Waarde MIN]])),J134)</f>
        <v>299.70000000000005</v>
      </c>
      <c r="L134" s="378" t="s">
        <v>110</v>
      </c>
      <c r="N134" s="207" t="s">
        <v>120</v>
      </c>
      <c r="O134" s="171"/>
      <c r="P134" s="171"/>
      <c r="Q134" s="55">
        <f>Q116-Q133</f>
        <v>75</v>
      </c>
      <c r="R134" s="80" t="s">
        <v>86</v>
      </c>
    </row>
    <row r="135" spans="2:18" s="28" customFormat="1" ht="17" thickTop="1" x14ac:dyDescent="0.2">
      <c r="B135"/>
      <c r="C135"/>
      <c r="D135"/>
      <c r="E135"/>
      <c r="F135"/>
      <c r="H135" s="379" t="s">
        <v>112</v>
      </c>
      <c r="I135" s="195"/>
      <c r="J135" s="195"/>
      <c r="K135" s="176">
        <f>IF(OR(H130='DATA - Variabelen &amp; waarden'!B234,H130='DATA - Variabelen &amp; waarden'!B235,H130='DATA - Variabelen &amp; waarden'!B237),K134/1000*K130,0)</f>
        <v>0</v>
      </c>
      <c r="L135" s="380" t="s">
        <v>113</v>
      </c>
      <c r="N135" s="79"/>
      <c r="O135" s="171"/>
      <c r="P135" s="171"/>
      <c r="Q135" s="171"/>
      <c r="R135" s="80"/>
    </row>
    <row r="136" spans="2:18" s="28" customFormat="1" x14ac:dyDescent="0.2">
      <c r="B136"/>
      <c r="C136"/>
      <c r="D136"/>
      <c r="E136"/>
      <c r="F136"/>
      <c r="H136" s="379" t="s">
        <v>116</v>
      </c>
      <c r="I136" s="195"/>
      <c r="J136" s="195"/>
      <c r="K136" s="192">
        <f>IF(OR(H132='DATA - Variabelen &amp; waarden'!B244,H132='DATA - Variabelen &amp; waarden'!B245,H132='DATA - Variabelen &amp; waarden'!B246),'SCENARIO 3 - Slechtste geval'!K134/1000*'SCENARIO 3 - Slechtste geval'!K132,0)</f>
        <v>4.1958000000000002</v>
      </c>
      <c r="L136" s="380" t="s">
        <v>113</v>
      </c>
      <c r="N136" s="202" t="s">
        <v>121</v>
      </c>
      <c r="O136" s="171"/>
      <c r="P136" s="171"/>
      <c r="Q136" s="171"/>
      <c r="R136" s="80"/>
    </row>
    <row r="137" spans="2:18" s="28" customFormat="1" x14ac:dyDescent="0.2">
      <c r="B137"/>
      <c r="C137"/>
      <c r="D137"/>
      <c r="E137"/>
      <c r="F137"/>
      <c r="H137" s="352"/>
      <c r="I137" s="171"/>
      <c r="J137" s="171"/>
      <c r="K137" s="56"/>
      <c r="L137" s="373"/>
      <c r="N137" s="200" t="s">
        <v>123</v>
      </c>
      <c r="O137" s="171"/>
      <c r="P137" s="171"/>
      <c r="Q137" s="55">
        <f>Q123</f>
        <v>3825</v>
      </c>
      <c r="R137" s="80" t="s">
        <v>124</v>
      </c>
    </row>
    <row r="138" spans="2:18" s="28" customFormat="1" ht="17" thickBot="1" x14ac:dyDescent="0.25">
      <c r="B138"/>
      <c r="C138"/>
      <c r="D138"/>
      <c r="E138"/>
      <c r="F138"/>
      <c r="H138" s="387" t="s">
        <v>644</v>
      </c>
      <c r="I138" s="90" t="s">
        <v>25</v>
      </c>
      <c r="J138" s="92" t="s">
        <v>26</v>
      </c>
      <c r="K138" s="371">
        <f>SUM(K141,K144)</f>
        <v>1260</v>
      </c>
      <c r="L138" s="374" t="s">
        <v>48</v>
      </c>
      <c r="N138" s="200" t="s">
        <v>125</v>
      </c>
      <c r="O138" s="171"/>
      <c r="P138" s="171"/>
      <c r="Q138" s="55">
        <f>Q127</f>
        <v>2125</v>
      </c>
      <c r="R138" s="80" t="s">
        <v>124</v>
      </c>
    </row>
    <row r="139" spans="2:18" s="28" customFormat="1" ht="18" thickTop="1" thickBot="1" x14ac:dyDescent="0.25">
      <c r="B139"/>
      <c r="C139"/>
      <c r="D139"/>
      <c r="E139"/>
      <c r="F139"/>
      <c r="H139" s="383" t="s">
        <v>413</v>
      </c>
      <c r="I139" s="69" t="s">
        <v>52</v>
      </c>
      <c r="J139" s="62"/>
      <c r="K139" s="385" cm="1">
        <f t="array" ref="K139">IF(ISBLANK(J139),INDEX(HarvestCost2[[#All],[Geen]:[Waarde MIN]],_xlfn.XMATCH('SCENARIO 3 - Slechtste geval'!H139,HarvestCost2[[#All],[Oogst - tarief - Pluis]]),_xlfn.XMATCH('SCENARIO 3 - Slechtste geval'!I139,HarvestCost2[[#Headers],[Geen]:[Waarde MIN]])),J139)</f>
        <v>95</v>
      </c>
      <c r="L139" s="378" t="s">
        <v>57</v>
      </c>
      <c r="N139" s="79" t="s">
        <v>111</v>
      </c>
      <c r="O139" s="171"/>
      <c r="P139" s="171"/>
      <c r="Q139" s="55">
        <f>Q132</f>
        <v>200000</v>
      </c>
      <c r="R139" s="80" t="s">
        <v>124</v>
      </c>
    </row>
    <row r="140" spans="2:18" s="28" customFormat="1" ht="18" customHeight="1" thickTop="1" thickBot="1" x14ac:dyDescent="0.4">
      <c r="B140"/>
      <c r="C140"/>
      <c r="D140"/>
      <c r="E140"/>
      <c r="F140"/>
      <c r="H140" s="389" t="s">
        <v>642</v>
      </c>
      <c r="I140" s="388" t="s">
        <v>52</v>
      </c>
      <c r="J140" s="62"/>
      <c r="K140" s="391" cm="1">
        <f t="array" ref="K140">IF(ISBLANK(J140),INDEX('DATA - Variabelen &amp; waarden'!D214:G220,_xlfn.XMATCH('SCENARIO 3 - Slechtste geval'!H139,'DATA - Variabelen &amp; waarden'!B214:B220),_xlfn.XMATCH('SCENARIO 3 - Slechtste geval'!I140,'DATA - Variabelen &amp; waarden'!D214:G214)),J140)</f>
        <v>6</v>
      </c>
      <c r="L140" s="392" t="s">
        <v>55</v>
      </c>
      <c r="N140" s="222" t="s">
        <v>128</v>
      </c>
      <c r="O140" s="171"/>
      <c r="P140" s="171"/>
      <c r="Q140" s="235">
        <f>Q134*Q118</f>
        <v>750</v>
      </c>
      <c r="R140" s="80" t="s">
        <v>124</v>
      </c>
    </row>
    <row r="141" spans="2:18" s="28" customFormat="1" ht="18" thickTop="1" thickBot="1" x14ac:dyDescent="0.25">
      <c r="B141"/>
      <c r="C141"/>
      <c r="D141"/>
      <c r="E141"/>
      <c r="F141"/>
      <c r="H141" s="384" t="s">
        <v>641</v>
      </c>
      <c r="I141" s="370">
        <f>K139*K140</f>
        <v>570</v>
      </c>
      <c r="J141" s="62"/>
      <c r="K141" s="176">
        <f>IF(ISBLANK(J141),I141,J141)</f>
        <v>570</v>
      </c>
      <c r="L141" s="342" t="s">
        <v>48</v>
      </c>
      <c r="N141" s="243" t="s">
        <v>131</v>
      </c>
      <c r="O141" s="57"/>
      <c r="P141" s="57"/>
      <c r="Q141" s="65">
        <f>SUM(Q137:Q140)</f>
        <v>206700</v>
      </c>
      <c r="R141" s="184" t="s">
        <v>49</v>
      </c>
    </row>
    <row r="142" spans="2:18" s="28" customFormat="1" ht="18" thickTop="1" thickBot="1" x14ac:dyDescent="0.25">
      <c r="B142"/>
      <c r="C142"/>
      <c r="D142"/>
      <c r="E142"/>
      <c r="F142"/>
      <c r="H142" s="376" t="str">
        <f>HarvestCost21[[#Headers],[Veld &amp; opslaglogistiek - tarief - Pluis ]]</f>
        <v xml:space="preserve">Veld &amp; opslaglogistiek - tarief - Pluis </v>
      </c>
      <c r="I142" s="69" t="s">
        <v>52</v>
      </c>
      <c r="J142" s="62"/>
      <c r="K142" s="385" cm="1">
        <f t="array" ref="K142">IF(ISBLANK(J142),_xlfn.XLOOKUP(I142,HarvestCost21[[#Headers],[Geen]:[Waarde MIN]],HarvestCost21[[#Totals],[Geen]:[Waarde MIN]]),J142)</f>
        <v>115</v>
      </c>
      <c r="L142" s="386" t="s">
        <v>57</v>
      </c>
      <c r="N142" s="207" t="s">
        <v>134</v>
      </c>
      <c r="O142" s="195"/>
      <c r="P142" s="195"/>
      <c r="Q142" s="176">
        <f>IFERROR(Q141/Q133,0)</f>
        <v>486.35294117647061</v>
      </c>
      <c r="R142" s="190" t="s">
        <v>92</v>
      </c>
    </row>
    <row r="143" spans="2:18" s="28" customFormat="1" ht="18" thickTop="1" thickBot="1" x14ac:dyDescent="0.25">
      <c r="B143"/>
      <c r="C143"/>
      <c r="D143"/>
      <c r="E143"/>
      <c r="F143"/>
      <c r="H143" s="376" t="s">
        <v>640</v>
      </c>
      <c r="I143" s="69" t="s">
        <v>52</v>
      </c>
      <c r="J143" s="62"/>
      <c r="K143" s="390" cm="1">
        <f t="array" ref="K143">IF(ISBLANK(J143),INDEX('DATA - Variabelen &amp; waarden'!D214:G220,_xlfn.XMATCH('SCENARIO 3 - Slechtste geval'!H139,'DATA - Variabelen &amp; waarden'!B214:B220),_xlfn.XMATCH('SCENARIO 3 - Slechtste geval'!I143,'DATA - Variabelen &amp; waarden'!D214:G214)),J143)</f>
        <v>6</v>
      </c>
      <c r="L143" s="386" t="s">
        <v>55</v>
      </c>
      <c r="N143" s="187"/>
      <c r="O143" s="171"/>
      <c r="P143" s="171"/>
      <c r="Q143" s="196"/>
      <c r="R143" s="185"/>
    </row>
    <row r="144" spans="2:18" s="28" customFormat="1" ht="17" thickTop="1" x14ac:dyDescent="0.2">
      <c r="B144"/>
      <c r="C144"/>
      <c r="D144"/>
      <c r="E144"/>
      <c r="F144"/>
      <c r="H144" s="384" t="s">
        <v>639</v>
      </c>
      <c r="I144" s="381">
        <f>K142*K143</f>
        <v>690</v>
      </c>
      <c r="J144" s="62"/>
      <c r="K144" s="176">
        <f>IF(ISBLANK(J144),I144,J144)</f>
        <v>690</v>
      </c>
      <c r="L144" s="342" t="s">
        <v>48</v>
      </c>
      <c r="N144" s="187"/>
      <c r="O144" s="171"/>
      <c r="P144" s="171"/>
      <c r="Q144" s="196"/>
      <c r="R144" s="185"/>
    </row>
    <row r="145" spans="2:36" s="28" customFormat="1" x14ac:dyDescent="0.2">
      <c r="B145"/>
      <c r="C145"/>
      <c r="D145"/>
      <c r="E145"/>
      <c r="F145"/>
      <c r="H145" s="340"/>
      <c r="I145" s="341"/>
      <c r="J145" s="341"/>
      <c r="K145" s="341"/>
      <c r="L145" s="342"/>
      <c r="N145" s="187"/>
      <c r="O145" s="171"/>
      <c r="P145" s="171"/>
      <c r="Q145" s="196"/>
      <c r="R145" s="185"/>
    </row>
    <row r="146" spans="2:36" s="28" customFormat="1" ht="17" thickBot="1" x14ac:dyDescent="0.25">
      <c r="B146"/>
      <c r="C146"/>
      <c r="D146"/>
      <c r="E146"/>
      <c r="F146"/>
      <c r="H146" s="387" t="str">
        <f>Stock2[[#Headers],[Bewaarmethode - Pluis]]</f>
        <v>Bewaarmethode - Pluis</v>
      </c>
      <c r="I146" s="171"/>
      <c r="J146" s="171"/>
      <c r="K146" s="370"/>
      <c r="L146" s="373"/>
      <c r="N146" s="187"/>
      <c r="O146" s="171"/>
      <c r="P146" s="171"/>
      <c r="Q146" s="196"/>
      <c r="R146" s="185"/>
    </row>
    <row r="147" spans="2:36" s="28" customFormat="1" ht="18" thickTop="1" thickBot="1" x14ac:dyDescent="0.25">
      <c r="B147"/>
      <c r="C147"/>
      <c r="D147"/>
      <c r="E147"/>
      <c r="F147"/>
      <c r="H147" s="375" t="s">
        <v>687</v>
      </c>
      <c r="I147" s="69" t="s">
        <v>52</v>
      </c>
      <c r="J147" s="62"/>
      <c r="K147" s="56" cm="1">
        <f t="array" ref="K147">IF(ISBLANK(J147),INDEX(Stock2[[#All],[Geen]:[Waarde MIN]],_xlfn.XMATCH('SCENARIO 3 - Slechtste geval'!H147,Stock2[[#All],[Bewaarmethode - Pluis]]),_xlfn.XMATCH('SCENARIO 3 - Slechtste geval'!I147,Stock2[[#Headers],[Geen]:[Waarde MIN]])),J147)</f>
        <v>31.25</v>
      </c>
      <c r="L147" s="373" t="s">
        <v>104</v>
      </c>
      <c r="N147" s="187"/>
      <c r="O147" s="171"/>
      <c r="P147" s="171"/>
      <c r="Q147" s="196"/>
      <c r="R147" s="185"/>
    </row>
    <row r="148" spans="2:36" s="28" customFormat="1" ht="18" thickTop="1" thickBot="1" x14ac:dyDescent="0.25">
      <c r="B148"/>
      <c r="C148"/>
      <c r="D148"/>
      <c r="E148"/>
      <c r="F148"/>
      <c r="H148" s="387" t="str">
        <f>Stock21[[#Headers],[Opslag - Pluis]]</f>
        <v>Opslag - Pluis</v>
      </c>
      <c r="I148" s="171"/>
      <c r="J148" s="171"/>
      <c r="K148" s="56"/>
      <c r="L148" s="373"/>
      <c r="N148" s="187"/>
      <c r="O148" s="171"/>
      <c r="P148" s="171"/>
      <c r="Q148" s="196"/>
      <c r="R148" s="185"/>
    </row>
    <row r="149" spans="2:36" s="28" customFormat="1" ht="18" thickTop="1" thickBot="1" x14ac:dyDescent="0.25">
      <c r="B149"/>
      <c r="C149"/>
      <c r="D149"/>
      <c r="E149"/>
      <c r="F149"/>
      <c r="H149" s="375" t="s">
        <v>106</v>
      </c>
      <c r="I149" s="69" t="s">
        <v>52</v>
      </c>
      <c r="J149" s="62"/>
      <c r="K149" s="68" cm="1">
        <f t="array" ref="K149">IF(ISBLANK(J149),INDEX(Stock21[[#All],[Geen]:[Waarde MIN]],_xlfn.XMATCH('SCENARIO 3 - Slechtste geval'!H149,Stock21[[#All],[Opslag - Pluis]]),_xlfn.XMATCH('SCENARIO 3 - Slechtste geval'!I149,Stock21[[#Headers],[Geen]:[Waarde MIN]])),J149)</f>
        <v>14</v>
      </c>
      <c r="L149" s="373" t="s">
        <v>104</v>
      </c>
      <c r="N149" s="187"/>
      <c r="O149" s="171"/>
      <c r="P149" s="171"/>
      <c r="Q149" s="196"/>
      <c r="R149" s="185"/>
    </row>
    <row r="150" spans="2:36" s="28" customFormat="1" ht="18" thickTop="1" thickBot="1" x14ac:dyDescent="0.25">
      <c r="B150"/>
      <c r="C150"/>
      <c r="D150"/>
      <c r="E150"/>
      <c r="F150"/>
      <c r="H150" s="382" t="s">
        <v>127</v>
      </c>
      <c r="I150" s="171"/>
      <c r="J150" s="171"/>
      <c r="K150" s="56"/>
      <c r="L150" s="373"/>
      <c r="N150" s="187"/>
      <c r="O150" s="171"/>
      <c r="P150" s="171"/>
      <c r="Q150" s="196"/>
      <c r="R150" s="185"/>
    </row>
    <row r="151" spans="2:36" s="28" customFormat="1" ht="18" thickTop="1" thickBot="1" x14ac:dyDescent="0.25">
      <c r="B151"/>
      <c r="C151"/>
      <c r="D151"/>
      <c r="E151"/>
      <c r="F151"/>
      <c r="H151" s="375" t="s">
        <v>129</v>
      </c>
      <c r="I151" s="69" t="s">
        <v>54</v>
      </c>
      <c r="J151" s="62"/>
      <c r="K151" s="178" cm="1">
        <f t="array" ref="K151">IF(ISBLANK(J151),INDEX(StockPluis[[#All],[Geen]:[Waarde MIN]],_xlfn.XMATCH('SCENARIO 3 - Slechtste geval'!H151,StockPluis[[#All],[DS inhoud big bag]]),_xlfn.XMATCH('SCENARIO 3 - Slechtste geval'!I151,StockPluis[[#Headers],[Geen]:[Waarde MIN]])),J151)</f>
        <v>65</v>
      </c>
      <c r="L151" s="378" t="s">
        <v>130</v>
      </c>
      <c r="N151" s="187"/>
      <c r="O151" s="171"/>
      <c r="P151" s="171"/>
      <c r="Q151" s="196"/>
      <c r="R151" s="185"/>
    </row>
    <row r="152" spans="2:36" s="28" customFormat="1" ht="17" thickTop="1" x14ac:dyDescent="0.2">
      <c r="B152"/>
      <c r="C152"/>
      <c r="D152"/>
      <c r="E152"/>
      <c r="F152"/>
      <c r="H152" s="379" t="s">
        <v>132</v>
      </c>
      <c r="I152" s="195"/>
      <c r="J152" s="195"/>
      <c r="K152" s="176">
        <f>IF(H147='DATA - Variabelen &amp; waarden'!B259,K151/1000*K147,0)</f>
        <v>0</v>
      </c>
      <c r="L152" s="380" t="s">
        <v>133</v>
      </c>
      <c r="N152" s="187"/>
      <c r="O152" s="171"/>
      <c r="P152" s="171"/>
      <c r="Q152" s="196"/>
      <c r="R152" s="185"/>
    </row>
    <row r="153" spans="2:36" s="28" customFormat="1" x14ac:dyDescent="0.2">
      <c r="B153"/>
      <c r="C153"/>
      <c r="D153"/>
      <c r="E153"/>
      <c r="F153"/>
      <c r="H153" s="379" t="s">
        <v>135</v>
      </c>
      <c r="I153" s="195"/>
      <c r="J153" s="195"/>
      <c r="K153" s="192">
        <f>IF(H149='DATA - Variabelen &amp; waarden'!B271,'SCENARIO 3 - Slechtste geval'!K151/1000*'SCENARIO 3 - Slechtste geval'!K149,0)</f>
        <v>0</v>
      </c>
      <c r="L153" s="380" t="s">
        <v>133</v>
      </c>
      <c r="N153" s="79"/>
      <c r="O153" s="171"/>
      <c r="P153" s="171"/>
      <c r="Q153" s="171"/>
      <c r="R153" s="80"/>
    </row>
    <row r="154" spans="2:36" s="28" customFormat="1" x14ac:dyDescent="0.2">
      <c r="B154"/>
      <c r="C154"/>
      <c r="D154"/>
      <c r="E154"/>
      <c r="F154"/>
      <c r="H154" s="81"/>
      <c r="I154" s="172"/>
      <c r="J154" s="172"/>
      <c r="K154" s="172"/>
      <c r="L154" s="82"/>
      <c r="N154" s="81"/>
      <c r="O154" s="172"/>
      <c r="P154" s="172"/>
      <c r="Q154" s="172"/>
      <c r="R154" s="82"/>
    </row>
    <row r="155" spans="2:36" s="28" customFormat="1" x14ac:dyDescent="0.2">
      <c r="K155" s="175"/>
    </row>
    <row r="156" spans="2:36" s="106" customFormat="1" ht="17" x14ac:dyDescent="0.2">
      <c r="B156" s="105" t="s">
        <v>136</v>
      </c>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row>
    <row r="158" spans="2:36" x14ac:dyDescent="0.2">
      <c r="B158" s="87" t="s">
        <v>137</v>
      </c>
      <c r="C158" s="173"/>
      <c r="D158" s="173"/>
      <c r="E158" s="173"/>
      <c r="F158" s="85"/>
      <c r="H158" s="87" t="s">
        <v>138</v>
      </c>
      <c r="I158" s="173"/>
      <c r="J158" s="173"/>
      <c r="K158" s="173"/>
      <c r="L158" s="85"/>
      <c r="N158" s="87" t="s">
        <v>139</v>
      </c>
      <c r="O158" s="173"/>
      <c r="P158" s="173"/>
      <c r="Q158" s="173"/>
      <c r="R158" s="85"/>
      <c r="T158" s="87" t="s">
        <v>140</v>
      </c>
      <c r="U158" s="173"/>
      <c r="V158" s="173"/>
      <c r="W158" s="173"/>
      <c r="X158" s="85"/>
      <c r="Z158" s="87" t="s">
        <v>141</v>
      </c>
      <c r="AA158" s="173"/>
      <c r="AB158" s="173"/>
      <c r="AC158" s="173"/>
      <c r="AD158" s="85"/>
      <c r="AF158" s="87" t="s">
        <v>142</v>
      </c>
      <c r="AG158" s="173"/>
      <c r="AH158" s="173"/>
      <c r="AI158" s="173"/>
      <c r="AJ158" s="85"/>
    </row>
    <row r="159" spans="2:36" x14ac:dyDescent="0.2">
      <c r="B159" s="125"/>
      <c r="C159" s="171"/>
      <c r="D159" s="171"/>
      <c r="E159" s="171"/>
      <c r="F159" s="80"/>
      <c r="H159" s="125"/>
      <c r="I159" s="171"/>
      <c r="J159" s="171"/>
      <c r="K159" s="171"/>
      <c r="L159" s="80"/>
      <c r="N159" s="125"/>
      <c r="O159" s="171"/>
      <c r="P159" s="171"/>
      <c r="Q159" s="171"/>
      <c r="R159" s="80"/>
      <c r="T159" s="125"/>
      <c r="U159" s="171"/>
      <c r="V159" s="171"/>
      <c r="W159" s="171"/>
      <c r="X159" s="80"/>
      <c r="Z159" s="125"/>
      <c r="AA159" s="171"/>
      <c r="AB159" s="171"/>
      <c r="AC159" s="171"/>
      <c r="AD159" s="80"/>
      <c r="AF159" s="125"/>
      <c r="AG159" s="171"/>
      <c r="AH159" s="171"/>
      <c r="AI159" s="171"/>
      <c r="AJ159" s="80"/>
    </row>
    <row r="160" spans="2:36" ht="17" thickBot="1" x14ac:dyDescent="0.25">
      <c r="B160" s="79"/>
      <c r="C160" s="171" t="s">
        <v>143</v>
      </c>
      <c r="D160" s="171" t="s">
        <v>144</v>
      </c>
      <c r="E160" s="171"/>
      <c r="F160" s="80"/>
      <c r="H160" s="109" t="s">
        <v>145</v>
      </c>
      <c r="I160" s="57" t="s">
        <v>146</v>
      </c>
      <c r="J160" s="171"/>
      <c r="K160" s="171"/>
      <c r="L160" s="80"/>
      <c r="N160" s="109" t="s">
        <v>145</v>
      </c>
      <c r="O160" s="57" t="s">
        <v>146</v>
      </c>
      <c r="P160" s="171"/>
      <c r="Q160" s="171"/>
      <c r="R160" s="80"/>
      <c r="T160" s="109" t="s">
        <v>145</v>
      </c>
      <c r="U160" s="57" t="s">
        <v>146</v>
      </c>
      <c r="V160" s="171"/>
      <c r="W160" s="171"/>
      <c r="X160" s="80"/>
      <c r="Z160" s="109" t="s">
        <v>145</v>
      </c>
      <c r="AA160" s="57" t="s">
        <v>146</v>
      </c>
      <c r="AB160" s="171"/>
      <c r="AC160" s="171"/>
      <c r="AD160" s="80"/>
      <c r="AF160" s="109" t="s">
        <v>145</v>
      </c>
      <c r="AG160" s="57" t="s">
        <v>146</v>
      </c>
      <c r="AH160" s="171"/>
      <c r="AI160" s="171"/>
      <c r="AJ160" s="80"/>
    </row>
    <row r="161" spans="2:36" ht="18" thickTop="1" thickBot="1" x14ac:dyDescent="0.25">
      <c r="B161" s="107" t="s">
        <v>147</v>
      </c>
      <c r="C161" s="252">
        <f>E110</f>
        <v>434.99999999999994</v>
      </c>
      <c r="D161" s="253">
        <f>SUMIF(C169:C173,"Blad &amp; stengelmateriaal",D169:D173)</f>
        <v>435</v>
      </c>
      <c r="E161" s="171" t="s">
        <v>78</v>
      </c>
      <c r="F161" s="80"/>
      <c r="H161" s="89" t="s">
        <v>148</v>
      </c>
      <c r="I161" s="60" t="str">
        <f>Product0129[[#Headers],[Plantdeel]]</f>
        <v>Plantdeel</v>
      </c>
      <c r="J161" s="171"/>
      <c r="K161" s="256" t="str" cm="1">
        <f t="array" ref="K161">_xlfn.XLOOKUP($H$161,Product0129[[#All],[Producten]],Product0129[[#All],[Plantdeel]])</f>
        <v>Blad &amp; stengelmateriaal</v>
      </c>
      <c r="L161" s="80"/>
      <c r="N161" s="89" t="s">
        <v>149</v>
      </c>
      <c r="O161" s="60" t="str">
        <f>Product0129[[#Headers],[Plantdeel]]</f>
        <v>Plantdeel</v>
      </c>
      <c r="P161" s="171"/>
      <c r="Q161" s="256" t="str" cm="1">
        <f t="array" ref="Q161">_xlfn.XLOOKUP($N$161,Product0129[[#All],[Producten]],Product0129[[#All],[Plantdeel]])</f>
        <v>Pluis</v>
      </c>
      <c r="R161" s="80"/>
      <c r="T161" s="89" t="s">
        <v>150</v>
      </c>
      <c r="U161" s="60" t="str">
        <f>Product0129[[#Headers],[Plantdeel]]</f>
        <v>Plantdeel</v>
      </c>
      <c r="V161" s="171"/>
      <c r="W161" s="256" t="str" cm="1">
        <f t="array" ref="W161">_xlfn.XLOOKUP($T$161,Product0129[[#All],[Producten]],Product0129[[#All],[Plantdeel]])</f>
        <v>Blad &amp; stengelmateriaal</v>
      </c>
      <c r="X161" s="80"/>
      <c r="Z161" s="89" t="s">
        <v>151</v>
      </c>
      <c r="AA161" s="60" t="str">
        <f>Product0129[[#Headers],[Plantdeel]]</f>
        <v>Plantdeel</v>
      </c>
      <c r="AB161" s="171"/>
      <c r="AC161" s="256" t="str" cm="1">
        <f t="array" ref="AC161">_xlfn.XLOOKUP($Z$161,Product0129[[#All],[Producten]],Product0129[[#All],[Plantdeel]])</f>
        <v>Blad &amp; stengelmateriaal</v>
      </c>
      <c r="AD161" s="80"/>
      <c r="AF161" s="89" t="s">
        <v>152</v>
      </c>
      <c r="AG161" s="60" t="str">
        <f>Product0129[[#Headers],[Plantdeel]]</f>
        <v>Plantdeel</v>
      </c>
      <c r="AH161" s="171"/>
      <c r="AI161" s="256" t="str" cm="1">
        <f t="array" ref="AI161">_xlfn.XLOOKUP($AF$161,Product0129[[#All],[Producten]],Product0129[[#All],[Plantdeel]])</f>
        <v>Blad &amp; stengelmateriaal</v>
      </c>
      <c r="AJ161" s="80"/>
    </row>
    <row r="162" spans="2:36" ht="17" thickTop="1" x14ac:dyDescent="0.2">
      <c r="B162" s="107" t="s">
        <v>153</v>
      </c>
      <c r="C162" s="252">
        <f>E111</f>
        <v>15</v>
      </c>
      <c r="D162" s="253">
        <f>SUMIF(C169:C173,"Pluis",D169:D173)</f>
        <v>15</v>
      </c>
      <c r="E162" s="171" t="s">
        <v>78</v>
      </c>
      <c r="F162" s="80"/>
      <c r="H162" s="79"/>
      <c r="I162" s="171" t="str">
        <f>Product0129[[#Headers],[DS-gehalte]]</f>
        <v>DS-gehalte</v>
      </c>
      <c r="J162" s="171"/>
      <c r="K162" s="257" cm="1">
        <f t="array" ref="K162">_xlfn.XLOOKUP($H$161,Product0129[[#All],[Producten]],Product0129[[#All],[DS-gehalte]])</f>
        <v>0.9</v>
      </c>
      <c r="L162" s="80"/>
      <c r="N162" s="79"/>
      <c r="O162" s="171" t="str">
        <f>Product0129[[#Headers],[DS-gehalte]]</f>
        <v>DS-gehalte</v>
      </c>
      <c r="P162" s="171"/>
      <c r="Q162" s="257" cm="1">
        <f t="array" ref="Q162">_xlfn.XLOOKUP($N$161,Product0129[[#All],[Producten]],Product0129[[#All],[DS-gehalte]])</f>
        <v>0.98</v>
      </c>
      <c r="R162" s="80"/>
      <c r="T162" s="79"/>
      <c r="U162" s="171" t="str">
        <f>Product0129[[#Headers],[DS-gehalte]]</f>
        <v>DS-gehalte</v>
      </c>
      <c r="V162" s="171"/>
      <c r="W162" s="257" cm="1">
        <f t="array" ref="W162">_xlfn.XLOOKUP($T$161,Product0129[[#All],[Producten]],Product0129[[#All],[DS-gehalte]])</f>
        <v>0.8</v>
      </c>
      <c r="X162" s="80"/>
      <c r="Z162" s="79"/>
      <c r="AA162" s="171" t="str">
        <f>Product0129[[#Headers],[DS-gehalte]]</f>
        <v>DS-gehalte</v>
      </c>
      <c r="AB162" s="171"/>
      <c r="AC162" s="257" cm="1">
        <f t="array" ref="AC162">_xlfn.XLOOKUP($Z$161,Product0129[[#All],[Producten]],Product0129[[#All],[DS-gehalte]])</f>
        <v>0.97</v>
      </c>
      <c r="AD162" s="80"/>
      <c r="AF162" s="79"/>
      <c r="AG162" s="171" t="str">
        <f>Product0129[[#Headers],[DS-gehalte]]</f>
        <v>DS-gehalte</v>
      </c>
      <c r="AH162" s="171"/>
      <c r="AI162" s="257" cm="1">
        <f t="array" ref="AI162">_xlfn.XLOOKUP($AF$161,Product0129[[#All],[Producten]],Product0129[[#All],[DS-gehalte]])</f>
        <v>0.9</v>
      </c>
      <c r="AJ162" s="80"/>
    </row>
    <row r="163" spans="2:36" x14ac:dyDescent="0.2">
      <c r="B163" s="289" t="s">
        <v>47</v>
      </c>
      <c r="C163" s="422">
        <f>SUM(C161:C162)</f>
        <v>449.99999999999994</v>
      </c>
      <c r="D163" s="423">
        <f>SUM(D161:D162)</f>
        <v>450</v>
      </c>
      <c r="E163" s="57" t="s">
        <v>78</v>
      </c>
      <c r="F163" s="80"/>
      <c r="H163" s="79"/>
      <c r="I163" s="171" t="str">
        <f>Product0129[[#Headers],[Fractielengte '[mm']]]</f>
        <v>Fractielengte [mm]</v>
      </c>
      <c r="J163" s="171"/>
      <c r="K163" s="256" t="str" cm="1">
        <f t="array" ref="K163">_xlfn.XLOOKUP($H$161,Product0129[[#All],[Producten]],Product0129[[#All],[Fractielengte '[mm']]])</f>
        <v>5-50</v>
      </c>
      <c r="L163" s="80"/>
      <c r="N163" s="79"/>
      <c r="O163" s="171" t="str">
        <f>Product0129[[#Headers],[Fractielengte '[mm']]]</f>
        <v>Fractielengte [mm]</v>
      </c>
      <c r="P163" s="171"/>
      <c r="Q163" s="256" t="str" cm="1">
        <f t="array" ref="Q163">_xlfn.XLOOKUP($N$161,Product0129[[#All],[Producten]],Product0129[[#All],[Fractielengte '[mm']]])</f>
        <v>Gehele pluis</v>
      </c>
      <c r="R163" s="80"/>
      <c r="T163" s="79"/>
      <c r="U163" s="171" t="str">
        <f>Product0129[[#Headers],[Fractielengte '[mm']]]</f>
        <v>Fractielengte [mm]</v>
      </c>
      <c r="V163" s="171"/>
      <c r="W163" s="256" cm="1">
        <f t="array" ref="W163">_xlfn.XLOOKUP($T$161,Product0129[[#All],[Producten]],Product0129[[#All],[Fractielengte '[mm']]])</f>
        <v>700</v>
      </c>
      <c r="X163" s="80"/>
      <c r="Z163" s="79"/>
      <c r="AA163" s="171" t="str">
        <f>Product0129[[#Headers],[Fractielengte '[mm']]]</f>
        <v>Fractielengte [mm]</v>
      </c>
      <c r="AB163" s="171"/>
      <c r="AC163" s="256" t="str" cm="1">
        <f t="array" ref="AC163">_xlfn.XLOOKUP($Z$161,Product0129[[#All],[Producten]],Product0129[[#All],[Fractielengte '[mm']]])</f>
        <v>0,1-0,35</v>
      </c>
      <c r="AD163" s="80"/>
      <c r="AF163" s="79"/>
      <c r="AG163" s="171" t="str">
        <f>Product0129[[#Headers],[Fractielengte '[mm']]]</f>
        <v>Fractielengte [mm]</v>
      </c>
      <c r="AH163" s="171"/>
      <c r="AI163" s="256" t="str" cm="1">
        <f t="array" ref="AI163">_xlfn.XLOOKUP($AF$161,Product0129[[#All],[Producten]],Product0129[[#All],[Fractielengte '[mm']]])</f>
        <v>0,5-2,5</v>
      </c>
      <c r="AJ163" s="80"/>
    </row>
    <row r="164" spans="2:36" x14ac:dyDescent="0.2">
      <c r="B164" s="81"/>
      <c r="C164" s="172"/>
      <c r="D164" s="172"/>
      <c r="E164" s="172"/>
      <c r="F164" s="82"/>
      <c r="H164" s="79"/>
      <c r="I164" s="171" t="str">
        <f>Product0129[[#Headers],[Fractiediameter (mm)]]</f>
        <v>Fractiediameter (mm)</v>
      </c>
      <c r="J164" s="171"/>
      <c r="K164" s="256" t="str" cm="1">
        <f t="array" ref="K164">_xlfn.XLOOKUP($H$161,Product0129[[#All],[Producten]],Product0129[[#All],[Fractiediameter (mm)]])</f>
        <v>5-50</v>
      </c>
      <c r="L164" s="80"/>
      <c r="N164" s="79"/>
      <c r="O164" s="171" t="str">
        <f>Product0129[[#Headers],[Fractiediameter (mm)]]</f>
        <v>Fractiediameter (mm)</v>
      </c>
      <c r="P164" s="171"/>
      <c r="Q164" s="256" t="str" cm="1">
        <f t="array" ref="Q164">_xlfn.XLOOKUP($N$161,Product0129[[#All],[Producten]],Product0129[[#All],[Fractiediameter (mm)]])</f>
        <v>Gehele pluis</v>
      </c>
      <c r="R164" s="80"/>
      <c r="T164" s="79"/>
      <c r="U164" s="171" t="str">
        <f>Product0129[[#Headers],[Fractiediameter (mm)]]</f>
        <v>Fractiediameter (mm)</v>
      </c>
      <c r="V164" s="171"/>
      <c r="W164" s="256" t="str" cm="1">
        <f t="array" ref="W164">_xlfn.XLOOKUP($T$161,Product0129[[#All],[Producten]],Product0129[[#All],[Fractiediameter (mm)]])</f>
        <v>3-6</v>
      </c>
      <c r="X164" s="80"/>
      <c r="Z164" s="79"/>
      <c r="AA164" s="171" t="str">
        <f>Product0129[[#Headers],[Fractiediameter (mm)]]</f>
        <v>Fractiediameter (mm)</v>
      </c>
      <c r="AB164" s="171"/>
      <c r="AC164" s="256" t="str" cm="1">
        <f t="array" ref="AC164">_xlfn.XLOOKUP($Z$161,Product0129[[#All],[Producten]],Product0129[[#All],[Fractiediameter (mm)]])</f>
        <v>0,1</v>
      </c>
      <c r="AD164" s="80"/>
      <c r="AF164" s="79"/>
      <c r="AG164" s="171" t="str">
        <f>Product0129[[#Headers],[Fractiediameter (mm)]]</f>
        <v>Fractiediameter (mm)</v>
      </c>
      <c r="AH164" s="171"/>
      <c r="AI164" s="256" t="str" cm="1">
        <f t="array" ref="AI164">_xlfn.XLOOKUP($AF$161,Product0129[[#All],[Producten]],Product0129[[#All],[Fractiediameter (mm)]])</f>
        <v>0,1-0,25</v>
      </c>
      <c r="AJ164" s="80"/>
    </row>
    <row r="165" spans="2:36" x14ac:dyDescent="0.2">
      <c r="H165" s="79"/>
      <c r="I165" s="171"/>
      <c r="J165" s="171"/>
      <c r="K165" s="256"/>
      <c r="L165" s="80"/>
      <c r="N165" s="79"/>
      <c r="O165" s="171"/>
      <c r="P165" s="171"/>
      <c r="Q165" s="204"/>
      <c r="R165" s="80"/>
      <c r="T165" s="79"/>
      <c r="U165" s="171"/>
      <c r="V165" s="171"/>
      <c r="W165" s="204"/>
      <c r="X165" s="80"/>
      <c r="Z165" s="79"/>
      <c r="AA165" s="171"/>
      <c r="AB165" s="171"/>
      <c r="AC165" s="204"/>
      <c r="AD165" s="80"/>
      <c r="AF165" s="79"/>
      <c r="AG165" s="171"/>
      <c r="AH165" s="171"/>
      <c r="AI165" s="204"/>
      <c r="AJ165" s="80"/>
    </row>
    <row r="166" spans="2:36" ht="17" thickBot="1" x14ac:dyDescent="0.25">
      <c r="B166" s="86" t="s">
        <v>154</v>
      </c>
      <c r="C166" s="78"/>
      <c r="D166" s="111"/>
      <c r="E166" s="111"/>
      <c r="F166" s="112"/>
      <c r="H166" s="79"/>
      <c r="I166" s="90" t="s">
        <v>25</v>
      </c>
      <c r="J166" s="92" t="s">
        <v>26</v>
      </c>
      <c r="K166" s="171"/>
      <c r="L166" s="80"/>
      <c r="N166" s="79"/>
      <c r="O166" s="90" t="s">
        <v>25</v>
      </c>
      <c r="P166" s="92" t="s">
        <v>26</v>
      </c>
      <c r="Q166" s="171"/>
      <c r="R166" s="80"/>
      <c r="T166" s="79"/>
      <c r="U166" s="90" t="s">
        <v>25</v>
      </c>
      <c r="V166" s="92" t="s">
        <v>26</v>
      </c>
      <c r="W166" s="171"/>
      <c r="X166" s="80"/>
      <c r="Z166" s="79"/>
      <c r="AA166" s="90" t="s">
        <v>25</v>
      </c>
      <c r="AB166" s="92" t="s">
        <v>26</v>
      </c>
      <c r="AC166" s="171"/>
      <c r="AD166" s="80"/>
      <c r="AF166" s="79"/>
      <c r="AG166" s="90" t="s">
        <v>25</v>
      </c>
      <c r="AH166" s="92" t="s">
        <v>26</v>
      </c>
      <c r="AI166" s="171"/>
      <c r="AJ166" s="80"/>
    </row>
    <row r="167" spans="2:36" ht="18" thickTop="1" thickBot="1" x14ac:dyDescent="0.25">
      <c r="B167" s="108"/>
      <c r="C167" s="57"/>
      <c r="D167" s="393"/>
      <c r="E167" s="393"/>
      <c r="F167" s="394"/>
      <c r="H167" s="109" t="s">
        <v>155</v>
      </c>
      <c r="I167" s="69" t="s">
        <v>51</v>
      </c>
      <c r="J167" s="208"/>
      <c r="K167" s="171" cm="1">
        <f t="array" ref="K167">IF(ISBLANK(J167),INDEX(Product01[[#All],[Geen]:[Waarde MIN]],_xlfn.XMATCH(H161,Product01[[#All],[Producten]]),_xlfn.XMATCH('SCENARIO 3 - Slechtste geval'!I167,Product01[[#Headers],[Geen]:[Waarde MIN]])),J167)</f>
        <v>950</v>
      </c>
      <c r="L167" s="80" t="s">
        <v>92</v>
      </c>
      <c r="N167" s="109" t="s">
        <v>155</v>
      </c>
      <c r="O167" s="69" t="s">
        <v>51</v>
      </c>
      <c r="P167" s="208"/>
      <c r="Q167" s="171" cm="1">
        <f t="array" ref="Q167">IF(ISBLANK(P167),INDEX(Product01[[#All],[Geen]:[Waarde MIN]],_xlfn.XMATCH(N161,Product01[[#All],[Producten]]),_xlfn.XMATCH('SCENARIO 3 - Slechtste geval'!O167,Product01[[#Headers],[Geen]:[Waarde MIN]])),P167)</f>
        <v>800</v>
      </c>
      <c r="R167" s="80" t="s">
        <v>92</v>
      </c>
      <c r="T167" s="109" t="s">
        <v>155</v>
      </c>
      <c r="U167" s="69" t="s">
        <v>51</v>
      </c>
      <c r="V167" s="208"/>
      <c r="W167" s="171" cm="1">
        <f t="array" ref="W167">IF(ISBLANK(V167),INDEX(Product01[[#All],[Geen]:[Waarde MIN]],_xlfn.XMATCH(T161,Product01[[#All],[Producten]]),_xlfn.XMATCH('SCENARIO 3 - Slechtste geval'!U167,Product01[[#Headers],[Geen]:[Waarde MIN]])),V167)</f>
        <v>300</v>
      </c>
      <c r="X167" s="80" t="s">
        <v>92</v>
      </c>
      <c r="Z167" s="109" t="s">
        <v>155</v>
      </c>
      <c r="AA167" s="69" t="s">
        <v>51</v>
      </c>
      <c r="AB167" s="208"/>
      <c r="AC167" s="171" cm="1">
        <f t="array" ref="AC167">IF(ISBLANK(AB167),INDEX(Product01[[#All],[Geen]:[Waarde MIN]],_xlfn.XMATCH(Z161,Product01[[#All],[Producten]]),_xlfn.XMATCH('SCENARIO 3 - Slechtste geval'!AA167,Product01[[#Headers],[Geen]:[Waarde MIN]])),AB167)</f>
        <v>100</v>
      </c>
      <c r="AD167" s="80" t="s">
        <v>92</v>
      </c>
      <c r="AF167" s="109" t="s">
        <v>155</v>
      </c>
      <c r="AG167" s="69" t="s">
        <v>51</v>
      </c>
      <c r="AH167" s="208"/>
      <c r="AI167" s="171" cm="1">
        <f t="array" ref="AI167">IF(ISBLANK(AH167),INDEX(Product01[[#All],[Geen]:[Waarde MIN]],_xlfn.XMATCH(AF161,Product01[[#All],[Producten]]),_xlfn.XMATCH('SCENARIO 3 - Slechtste geval'!AG167,Product01[[#Headers],[Geen]:[Waarde MIN]])),AH167)</f>
        <v>100</v>
      </c>
      <c r="AJ167" s="80" t="s">
        <v>92</v>
      </c>
    </row>
    <row r="168" spans="2:36" ht="17" thickTop="1" x14ac:dyDescent="0.2">
      <c r="B168" s="109" t="s">
        <v>156</v>
      </c>
      <c r="C168" s="57" t="s">
        <v>157</v>
      </c>
      <c r="D168" s="393" t="s">
        <v>158</v>
      </c>
      <c r="E168" s="393" t="s">
        <v>159</v>
      </c>
      <c r="F168" s="394" t="s">
        <v>160</v>
      </c>
      <c r="H168" s="79"/>
      <c r="I168" s="171"/>
      <c r="J168" s="171"/>
      <c r="K168" s="171"/>
      <c r="L168" s="80"/>
      <c r="N168" s="79"/>
      <c r="O168" s="171"/>
      <c r="P168" s="171"/>
      <c r="Q168" s="171"/>
      <c r="R168" s="80"/>
      <c r="T168" s="79"/>
      <c r="U168" s="171"/>
      <c r="V168" s="171"/>
      <c r="W168" s="171"/>
      <c r="X168" s="80"/>
      <c r="Z168" s="79"/>
      <c r="AA168" s="171"/>
      <c r="AB168" s="171"/>
      <c r="AC168" s="171"/>
      <c r="AD168" s="80"/>
      <c r="AF168" s="79"/>
      <c r="AG168" s="171"/>
      <c r="AH168" s="171"/>
      <c r="AI168" s="171"/>
      <c r="AJ168" s="80"/>
    </row>
    <row r="169" spans="2:36" x14ac:dyDescent="0.2">
      <c r="B169" s="79" t="str">
        <f>H161</f>
        <v>Bouw - Inblaasisolatie</v>
      </c>
      <c r="C169" s="171" t="str">
        <f>K161</f>
        <v>Blad &amp; stengelmateriaal</v>
      </c>
      <c r="D169" s="254">
        <f>K180</f>
        <v>110</v>
      </c>
      <c r="E169" s="110">
        <f>K169</f>
        <v>104500</v>
      </c>
      <c r="F169" s="113">
        <f>K177</f>
        <v>102046.38888888889</v>
      </c>
      <c r="H169" s="109" t="s">
        <v>161</v>
      </c>
      <c r="I169" s="123">
        <f>K167</f>
        <v>950</v>
      </c>
      <c r="J169" s="57" t="s">
        <v>92</v>
      </c>
      <c r="K169" s="65">
        <f>I169*K228</f>
        <v>104500</v>
      </c>
      <c r="L169" s="184" t="s">
        <v>49</v>
      </c>
      <c r="N169" s="109" t="s">
        <v>161</v>
      </c>
      <c r="O169" s="123">
        <f>Q167</f>
        <v>800</v>
      </c>
      <c r="P169" s="57" t="s">
        <v>92</v>
      </c>
      <c r="Q169" s="65">
        <f>O169*Q228</f>
        <v>11020.408163265305</v>
      </c>
      <c r="R169" s="184" t="s">
        <v>49</v>
      </c>
      <c r="T169" s="109" t="s">
        <v>161</v>
      </c>
      <c r="U169" s="123">
        <f>W167</f>
        <v>300</v>
      </c>
      <c r="V169" s="57" t="s">
        <v>92</v>
      </c>
      <c r="W169" s="65">
        <f>U169*W228</f>
        <v>33000</v>
      </c>
      <c r="X169" s="184" t="s">
        <v>49</v>
      </c>
      <c r="Z169" s="109" t="s">
        <v>161</v>
      </c>
      <c r="AA169" s="123">
        <f>AC167</f>
        <v>100</v>
      </c>
      <c r="AB169" s="57" t="s">
        <v>92</v>
      </c>
      <c r="AC169" s="65">
        <f>AA169*AC228</f>
        <v>7807.7319587628863</v>
      </c>
      <c r="AD169" s="184" t="s">
        <v>49</v>
      </c>
      <c r="AF169" s="109" t="s">
        <v>161</v>
      </c>
      <c r="AG169" s="123">
        <f>AI167</f>
        <v>100</v>
      </c>
      <c r="AH169" s="57" t="s">
        <v>92</v>
      </c>
      <c r="AI169" s="65">
        <f>AG169*AI228</f>
        <v>9450</v>
      </c>
      <c r="AJ169" s="184" t="s">
        <v>49</v>
      </c>
    </row>
    <row r="170" spans="2:36" x14ac:dyDescent="0.2">
      <c r="B170" s="79" t="str">
        <f>N161</f>
        <v>Bouw - Beton - Droge mortel - Versterker</v>
      </c>
      <c r="C170" s="171" t="str">
        <f>Q161</f>
        <v>Pluis</v>
      </c>
      <c r="D170" s="254">
        <f>Q180</f>
        <v>15</v>
      </c>
      <c r="E170" s="110">
        <f>Q169</f>
        <v>11020.408163265305</v>
      </c>
      <c r="F170" s="113">
        <f>Q177</f>
        <v>9596.3860544217659</v>
      </c>
      <c r="H170" s="79"/>
      <c r="I170" s="262"/>
      <c r="J170" s="171"/>
      <c r="K170" s="55"/>
      <c r="L170" s="80"/>
      <c r="N170" s="79"/>
      <c r="O170" s="262"/>
      <c r="P170" s="171"/>
      <c r="Q170" s="55"/>
      <c r="R170" s="80"/>
      <c r="T170" s="79"/>
      <c r="U170" s="262"/>
      <c r="V170" s="171"/>
      <c r="W170" s="55"/>
      <c r="X170" s="80"/>
      <c r="Z170" s="79"/>
      <c r="AA170" s="262"/>
      <c r="AB170" s="171"/>
      <c r="AC170" s="55"/>
      <c r="AD170" s="80"/>
      <c r="AF170" s="79"/>
      <c r="AG170" s="262"/>
      <c r="AH170" s="171"/>
      <c r="AI170" s="55"/>
      <c r="AJ170" s="80"/>
    </row>
    <row r="171" spans="2:36" x14ac:dyDescent="0.2">
      <c r="B171" s="79" t="str">
        <f>T161</f>
        <v>Bouw - Isolatieplaat (Typha Board)</v>
      </c>
      <c r="C171" s="171" t="str">
        <f>W161</f>
        <v>Blad &amp; stengelmateriaal</v>
      </c>
      <c r="D171" s="254">
        <f>W180</f>
        <v>110</v>
      </c>
      <c r="E171" s="110">
        <f>W169</f>
        <v>33000</v>
      </c>
      <c r="F171" s="113">
        <f>W177</f>
        <v>30546.388888888891</v>
      </c>
      <c r="H171" s="187" t="str">
        <f>H197</f>
        <v>Droogkosten</v>
      </c>
      <c r="I171" s="263">
        <f>IFERROR(K171/$K$228,0)</f>
        <v>0</v>
      </c>
      <c r="J171" s="104" t="s">
        <v>92</v>
      </c>
      <c r="K171" s="197">
        <f>K197</f>
        <v>0</v>
      </c>
      <c r="L171" s="185" t="s">
        <v>49</v>
      </c>
      <c r="N171" s="187" t="str">
        <f>N197</f>
        <v>Droogkosten</v>
      </c>
      <c r="O171" s="263">
        <f>IFERROR(Q171/$Q$228,0)</f>
        <v>59.259259259259331</v>
      </c>
      <c r="P171" s="104" t="s">
        <v>92</v>
      </c>
      <c r="Q171" s="197">
        <f>Q197</f>
        <v>816.32653061224585</v>
      </c>
      <c r="R171" s="185" t="s">
        <v>49</v>
      </c>
      <c r="T171" s="187" t="str">
        <f>T197</f>
        <v>Droogkosten</v>
      </c>
      <c r="U171" s="263">
        <f>IFERROR(W171/$W$228,0)</f>
        <v>0</v>
      </c>
      <c r="V171" s="104" t="s">
        <v>92</v>
      </c>
      <c r="W171" s="197">
        <f>W197</f>
        <v>0</v>
      </c>
      <c r="X171" s="185" t="s">
        <v>49</v>
      </c>
      <c r="Z171" s="187" t="str">
        <f>Z197</f>
        <v>Droogkosten</v>
      </c>
      <c r="AA171" s="263">
        <f>IFERROR(AC171/$AC$228,0)</f>
        <v>56.483498749293844</v>
      </c>
      <c r="AB171" s="104" t="s">
        <v>92</v>
      </c>
      <c r="AC171" s="197">
        <f>AC197</f>
        <v>4410.0801832760508</v>
      </c>
      <c r="AD171" s="185" t="s">
        <v>49</v>
      </c>
      <c r="AF171" s="187" t="str">
        <f>AF197</f>
        <v>Droogkosten</v>
      </c>
      <c r="AG171" s="263">
        <f>IFERROR(AI171/$AI$228,0)</f>
        <v>0</v>
      </c>
      <c r="AH171" s="104" t="s">
        <v>92</v>
      </c>
      <c r="AI171" s="197">
        <f>AI197</f>
        <v>0</v>
      </c>
      <c r="AJ171" s="185" t="s">
        <v>49</v>
      </c>
    </row>
    <row r="172" spans="2:36" x14ac:dyDescent="0.2">
      <c r="B172" s="79" t="str">
        <f>Z161</f>
        <v xml:space="preserve">Plastics - Spuitgieten - Vuller </v>
      </c>
      <c r="C172" s="171" t="str">
        <f>AC161</f>
        <v>Blad &amp; stengelmateriaal</v>
      </c>
      <c r="D172" s="254">
        <f>AC180</f>
        <v>110</v>
      </c>
      <c r="E172" s="110">
        <f>AC169</f>
        <v>7807.7319587628863</v>
      </c>
      <c r="F172" s="113">
        <f>AC177</f>
        <v>-401.22436998853664</v>
      </c>
      <c r="H172" s="187" t="str">
        <f>H201</f>
        <v>Verwerkingsstap 1</v>
      </c>
      <c r="I172" s="263">
        <f>IFERROR(K172/$K$228,0)</f>
        <v>11.111111111111111</v>
      </c>
      <c r="J172" s="104" t="s">
        <v>92</v>
      </c>
      <c r="K172" s="197">
        <f>K210</f>
        <v>1222.2222222222222</v>
      </c>
      <c r="L172" s="185" t="s">
        <v>49</v>
      </c>
      <c r="N172" s="187" t="str">
        <f>N201</f>
        <v>Verwerkingsstap 1</v>
      </c>
      <c r="O172" s="263">
        <f>IFERROR(Q172/$Q$228,0)</f>
        <v>27.777777777777775</v>
      </c>
      <c r="P172" s="104" t="s">
        <v>92</v>
      </c>
      <c r="Q172" s="197">
        <f>Q210</f>
        <v>382.65306122448976</v>
      </c>
      <c r="R172" s="185" t="s">
        <v>49</v>
      </c>
      <c r="T172" s="187" t="str">
        <f>T201</f>
        <v>Verwerkingsstap 1</v>
      </c>
      <c r="U172" s="263">
        <f t="shared" ref="U172:U175" si="2">IFERROR(W172/$W$228,0)</f>
        <v>11.111111111111111</v>
      </c>
      <c r="V172" s="104" t="s">
        <v>92</v>
      </c>
      <c r="W172" s="197">
        <f>W210</f>
        <v>1222.2222222222222</v>
      </c>
      <c r="X172" s="185" t="s">
        <v>49</v>
      </c>
      <c r="Z172" s="187" t="str">
        <f>Z201</f>
        <v>Verwerkingsstap 1</v>
      </c>
      <c r="AA172" s="263">
        <f t="shared" ref="AA172:AA175" si="3">IFERROR(AC172/$AC$228,0)</f>
        <v>12.345679012345681</v>
      </c>
      <c r="AB172" s="104" t="s">
        <v>92</v>
      </c>
      <c r="AC172" s="197">
        <f>AC210</f>
        <v>963.91752577319596</v>
      </c>
      <c r="AD172" s="185" t="s">
        <v>49</v>
      </c>
      <c r="AF172" s="187" t="str">
        <f>AF201</f>
        <v>Verwerkingsstap 1</v>
      </c>
      <c r="AG172" s="263">
        <f t="shared" ref="AG172:AG175" si="4">IFERROR(AI172/$AI$228,0)</f>
        <v>12.345679012345677</v>
      </c>
      <c r="AH172" s="104" t="s">
        <v>92</v>
      </c>
      <c r="AI172" s="197">
        <f>AI210</f>
        <v>1166.6666666666665</v>
      </c>
      <c r="AJ172" s="185" t="s">
        <v>49</v>
      </c>
    </row>
    <row r="173" spans="2:36" ht="17" thickBot="1" x14ac:dyDescent="0.25">
      <c r="B173" s="114" t="str">
        <f>AF161</f>
        <v>Papier - Massief karton - Vuller</v>
      </c>
      <c r="C173" s="115" t="str">
        <f>AI161</f>
        <v>Blad &amp; stengelmateriaal</v>
      </c>
      <c r="D173" s="255">
        <f>AI180</f>
        <v>105</v>
      </c>
      <c r="E173" s="116">
        <f>AI169</f>
        <v>9450</v>
      </c>
      <c r="F173" s="117">
        <f>AI177</f>
        <v>5892.541666666667</v>
      </c>
      <c r="H173" s="187" t="str">
        <f>H214</f>
        <v>Verwerkingsstap 2</v>
      </c>
      <c r="I173" s="263">
        <f>IFERROR(K173/$K$228,0)</f>
        <v>0</v>
      </c>
      <c r="J173" s="104" t="s">
        <v>92</v>
      </c>
      <c r="K173" s="197">
        <f>K223</f>
        <v>0</v>
      </c>
      <c r="L173" s="185" t="s">
        <v>49</v>
      </c>
      <c r="N173" s="187" t="str">
        <f>N214</f>
        <v>Verwerkingsstap 2</v>
      </c>
      <c r="O173" s="263">
        <f>IFERROR(Q173/$Q$228,0)</f>
        <v>0</v>
      </c>
      <c r="P173" s="104" t="s">
        <v>92</v>
      </c>
      <c r="Q173" s="197">
        <f>Q223</f>
        <v>0</v>
      </c>
      <c r="R173" s="185" t="s">
        <v>49</v>
      </c>
      <c r="T173" s="187" t="str">
        <f>T214</f>
        <v>Verwerkingsstap 2</v>
      </c>
      <c r="U173" s="263">
        <f t="shared" si="2"/>
        <v>0</v>
      </c>
      <c r="V173" s="104" t="s">
        <v>92</v>
      </c>
      <c r="W173" s="197">
        <f>W223</f>
        <v>0</v>
      </c>
      <c r="X173" s="185" t="s">
        <v>49</v>
      </c>
      <c r="Z173" s="187" t="str">
        <f>Z214</f>
        <v>Verwerkingsstap 2</v>
      </c>
      <c r="AA173" s="263">
        <f t="shared" si="3"/>
        <v>11.111111111111112</v>
      </c>
      <c r="AB173" s="104" t="s">
        <v>92</v>
      </c>
      <c r="AC173" s="197">
        <f>AC223</f>
        <v>867.52577319587635</v>
      </c>
      <c r="AD173" s="185" t="s">
        <v>49</v>
      </c>
      <c r="AF173" s="187" t="str">
        <f>AF214</f>
        <v>Verwerkingsstap 2</v>
      </c>
      <c r="AG173" s="263">
        <f t="shared" si="4"/>
        <v>11.111111111111111</v>
      </c>
      <c r="AH173" s="104" t="s">
        <v>92</v>
      </c>
      <c r="AI173" s="197">
        <f>AI223</f>
        <v>1050</v>
      </c>
      <c r="AJ173" s="185" t="s">
        <v>49</v>
      </c>
    </row>
    <row r="174" spans="2:36" ht="17" thickTop="1" x14ac:dyDescent="0.2">
      <c r="B174" s="118" t="s">
        <v>47</v>
      </c>
      <c r="C174" s="119"/>
      <c r="D174" s="120"/>
      <c r="E174" s="121">
        <f>SUM(E169:E173)</f>
        <v>165778.14012202821</v>
      </c>
      <c r="F174" s="122">
        <f>SUM(F169:F173)</f>
        <v>147680.48112887764</v>
      </c>
      <c r="H174" s="187" t="str">
        <f>H183</f>
        <v xml:space="preserve">Afvoerkosten restproduct </v>
      </c>
      <c r="I174" s="263">
        <f>IFERROR(K174/$K$228,0)</f>
        <v>2.222222222222221</v>
      </c>
      <c r="J174" s="104" t="s">
        <v>92</v>
      </c>
      <c r="K174" s="178">
        <f>SUM(K225,K212,K199)*K183</f>
        <v>244.44444444444429</v>
      </c>
      <c r="L174" s="185" t="s">
        <v>49</v>
      </c>
      <c r="N174" s="187" t="str">
        <f>N183</f>
        <v xml:space="preserve">Afvoerkosten restproduct </v>
      </c>
      <c r="O174" s="263">
        <f>IFERROR(Q174/$Q$228,0)</f>
        <v>2.2222222222222223</v>
      </c>
      <c r="P174" s="104" t="s">
        <v>92</v>
      </c>
      <c r="Q174" s="178">
        <f>SUM(Q225,Q212,Q199)*Q183</f>
        <v>30.612244897959187</v>
      </c>
      <c r="R174" s="185" t="s">
        <v>49</v>
      </c>
      <c r="T174" s="187" t="str">
        <f>T183</f>
        <v xml:space="preserve">Afvoerkosten restproduct </v>
      </c>
      <c r="U174" s="263">
        <f t="shared" si="2"/>
        <v>2.222222222222221</v>
      </c>
      <c r="V174" s="104" t="s">
        <v>92</v>
      </c>
      <c r="W174" s="178">
        <f>SUM(W225,W212,W199)*W183</f>
        <v>244.44444444444429</v>
      </c>
      <c r="X174" s="185" t="s">
        <v>49</v>
      </c>
      <c r="Z174" s="187" t="str">
        <f>Z183</f>
        <v xml:space="preserve">Afvoerkosten restproduct </v>
      </c>
      <c r="AA174" s="263">
        <f t="shared" si="3"/>
        <v>9.0486564996368948</v>
      </c>
      <c r="AB174" s="104" t="s">
        <v>92</v>
      </c>
      <c r="AC174" s="178">
        <f>SUM(AC225,AC212,AC199)*AC183</f>
        <v>706.49484536082491</v>
      </c>
      <c r="AD174" s="185" t="s">
        <v>49</v>
      </c>
      <c r="AF174" s="187" t="str">
        <f>AF183</f>
        <v xml:space="preserve">Afvoerkosten restproduct </v>
      </c>
      <c r="AG174" s="263">
        <f t="shared" si="4"/>
        <v>4.6913580246913558</v>
      </c>
      <c r="AH174" s="104" t="s">
        <v>92</v>
      </c>
      <c r="AI174" s="178">
        <f>SUM(AI225,AI212,AI199)*AI183</f>
        <v>443.33333333333314</v>
      </c>
      <c r="AJ174" s="185" t="s">
        <v>49</v>
      </c>
    </row>
    <row r="175" spans="2:36" x14ac:dyDescent="0.2">
      <c r="H175" s="187" t="s">
        <v>162</v>
      </c>
      <c r="I175" s="263">
        <f>IFERROR(K175/$K$228,0)</f>
        <v>8.9722222222222232</v>
      </c>
      <c r="J175" s="104" t="s">
        <v>92</v>
      </c>
      <c r="K175" s="197">
        <f>SUM(K193,K206,K219,K232)</f>
        <v>986.94444444444446</v>
      </c>
      <c r="L175" s="185" t="s">
        <v>49</v>
      </c>
      <c r="N175" s="187" t="s">
        <v>162</v>
      </c>
      <c r="O175" s="263">
        <f>IFERROR(Q175/$Q$228,0)</f>
        <v>14.1141975308642</v>
      </c>
      <c r="P175" s="104" t="s">
        <v>92</v>
      </c>
      <c r="Q175" s="197">
        <f>SUM(Q193,Q206,Q219,Q232)</f>
        <v>194.43027210884355</v>
      </c>
      <c r="R175" s="185" t="s">
        <v>49</v>
      </c>
      <c r="T175" s="187" t="s">
        <v>162</v>
      </c>
      <c r="U175" s="263">
        <f t="shared" si="2"/>
        <v>8.9722222222222232</v>
      </c>
      <c r="V175" s="104" t="s">
        <v>92</v>
      </c>
      <c r="W175" s="197">
        <f>SUM(W193,W206,W219,W232)</f>
        <v>986.94444444444446</v>
      </c>
      <c r="X175" s="185" t="s">
        <v>49</v>
      </c>
      <c r="Z175" s="187" t="s">
        <v>162</v>
      </c>
      <c r="AA175" s="263">
        <f t="shared" si="3"/>
        <v>16.149862825788752</v>
      </c>
      <c r="AB175" s="104" t="s">
        <v>92</v>
      </c>
      <c r="AC175" s="197">
        <f>SUM(AC193,AC206,AC219,AC232)</f>
        <v>1260.9380011454753</v>
      </c>
      <c r="AD175" s="185" t="s">
        <v>49</v>
      </c>
      <c r="AF175" s="187" t="s">
        <v>162</v>
      </c>
      <c r="AG175" s="263">
        <f t="shared" si="4"/>
        <v>9.4969135802469129</v>
      </c>
      <c r="AH175" s="104" t="s">
        <v>92</v>
      </c>
      <c r="AI175" s="197">
        <f>SUM(AI193,AI206,AI219,AI232)</f>
        <v>897.45833333333326</v>
      </c>
      <c r="AJ175" s="185" t="s">
        <v>49</v>
      </c>
    </row>
    <row r="176" spans="2:36" ht="19" x14ac:dyDescent="0.35">
      <c r="H176" s="109" t="s">
        <v>121</v>
      </c>
      <c r="I176" s="261">
        <f>SUM(I171:I175)</f>
        <v>22.305555555555557</v>
      </c>
      <c r="J176" s="57" t="s">
        <v>92</v>
      </c>
      <c r="K176" s="261">
        <f>SUM(K171:K175)</f>
        <v>2453.6111111111109</v>
      </c>
      <c r="L176" s="184" t="s">
        <v>49</v>
      </c>
      <c r="N176" s="109" t="s">
        <v>121</v>
      </c>
      <c r="O176" s="261">
        <f>SUM(O171:O175)</f>
        <v>103.37345679012354</v>
      </c>
      <c r="P176" s="57" t="s">
        <v>92</v>
      </c>
      <c r="Q176" s="261">
        <f>SUM(Q171:Q175)</f>
        <v>1424.0221088435385</v>
      </c>
      <c r="R176" s="184" t="s">
        <v>49</v>
      </c>
      <c r="T176" s="109" t="s">
        <v>121</v>
      </c>
      <c r="U176" s="261">
        <f>SUM(U171:U175)</f>
        <v>22.305555555555557</v>
      </c>
      <c r="V176" s="57" t="s">
        <v>92</v>
      </c>
      <c r="W176" s="261">
        <f>SUM(W171:W175)</f>
        <v>2453.6111111111109</v>
      </c>
      <c r="X176" s="184" t="s">
        <v>49</v>
      </c>
      <c r="Z176" s="109" t="s">
        <v>121</v>
      </c>
      <c r="AA176" s="261">
        <f>SUM(AA171:AA175)</f>
        <v>105.13880819817629</v>
      </c>
      <c r="AB176" s="57" t="s">
        <v>92</v>
      </c>
      <c r="AC176" s="261">
        <f>SUM(AC171:AC175)</f>
        <v>8208.9563287514229</v>
      </c>
      <c r="AD176" s="184" t="s">
        <v>49</v>
      </c>
      <c r="AF176" s="109" t="s">
        <v>121</v>
      </c>
      <c r="AG176" s="261">
        <f>SUM(AG171:AG175)</f>
        <v>37.645061728395056</v>
      </c>
      <c r="AH176" s="57" t="s">
        <v>92</v>
      </c>
      <c r="AI176" s="261">
        <f>SUM(AI171:AI175)</f>
        <v>3557.458333333333</v>
      </c>
      <c r="AJ176" s="184" t="s">
        <v>49</v>
      </c>
    </row>
    <row r="177" spans="2:36" x14ac:dyDescent="0.2">
      <c r="H177" s="109" t="s">
        <v>163</v>
      </c>
      <c r="I177" s="65">
        <f>I169-I176</f>
        <v>927.69444444444446</v>
      </c>
      <c r="J177" s="57" t="s">
        <v>92</v>
      </c>
      <c r="K177" s="65">
        <f>K169-K176</f>
        <v>102046.38888888889</v>
      </c>
      <c r="L177" s="184" t="s">
        <v>49</v>
      </c>
      <c r="N177" s="109" t="s">
        <v>163</v>
      </c>
      <c r="O177" s="65">
        <f>O169-O176</f>
        <v>696.62654320987644</v>
      </c>
      <c r="P177" s="57" t="s">
        <v>92</v>
      </c>
      <c r="Q177" s="65">
        <f>Q169-Q176</f>
        <v>9596.3860544217659</v>
      </c>
      <c r="R177" s="184" t="s">
        <v>49</v>
      </c>
      <c r="T177" s="109" t="s">
        <v>163</v>
      </c>
      <c r="U177" s="65">
        <f>U169-U176</f>
        <v>277.69444444444446</v>
      </c>
      <c r="V177" s="57" t="s">
        <v>92</v>
      </c>
      <c r="W177" s="65">
        <f>W169-W176</f>
        <v>30546.388888888891</v>
      </c>
      <c r="X177" s="184" t="s">
        <v>49</v>
      </c>
      <c r="Z177" s="109" t="s">
        <v>163</v>
      </c>
      <c r="AA177" s="65">
        <f>AA169-AA176</f>
        <v>-5.1388081981762923</v>
      </c>
      <c r="AB177" s="57" t="s">
        <v>92</v>
      </c>
      <c r="AC177" s="65">
        <f>AC169-AC176</f>
        <v>-401.22436998853664</v>
      </c>
      <c r="AD177" s="184" t="s">
        <v>49</v>
      </c>
      <c r="AF177" s="109" t="s">
        <v>163</v>
      </c>
      <c r="AG177" s="65">
        <f>AG169-AG176</f>
        <v>62.354938271604944</v>
      </c>
      <c r="AH177" s="57" t="s">
        <v>92</v>
      </c>
      <c r="AI177" s="65">
        <f>AI169-AI176</f>
        <v>5892.541666666667</v>
      </c>
      <c r="AJ177" s="184" t="s">
        <v>49</v>
      </c>
    </row>
    <row r="178" spans="2:36" x14ac:dyDescent="0.2">
      <c r="H178" s="79"/>
      <c r="I178" s="171"/>
      <c r="J178" s="171"/>
      <c r="K178" s="262"/>
      <c r="L178" s="80"/>
      <c r="N178" s="79"/>
      <c r="O178" s="171"/>
      <c r="P178" s="171"/>
      <c r="Q178" s="171"/>
      <c r="R178" s="80"/>
      <c r="T178" s="79"/>
      <c r="U178" s="171"/>
      <c r="V178" s="171"/>
      <c r="W178" s="171"/>
      <c r="X178" s="80"/>
      <c r="Z178" s="79"/>
      <c r="AA178" s="171"/>
      <c r="AB178" s="171"/>
      <c r="AC178" s="171"/>
      <c r="AD178" s="80"/>
      <c r="AF178" s="79"/>
      <c r="AG178" s="171"/>
      <c r="AH178" s="171"/>
      <c r="AI178" s="171"/>
      <c r="AJ178" s="80"/>
    </row>
    <row r="179" spans="2:36" x14ac:dyDescent="0.2">
      <c r="C179" s="421"/>
      <c r="H179" s="109" t="s">
        <v>164</v>
      </c>
      <c r="I179" s="90" t="s">
        <v>25</v>
      </c>
      <c r="J179" s="92" t="s">
        <v>26</v>
      </c>
      <c r="K179" s="171"/>
      <c r="L179" s="80"/>
      <c r="N179" s="109" t="s">
        <v>164</v>
      </c>
      <c r="O179" s="90" t="s">
        <v>25</v>
      </c>
      <c r="P179" s="92" t="s">
        <v>26</v>
      </c>
      <c r="Q179" s="171"/>
      <c r="R179" s="80"/>
      <c r="T179" s="109" t="s">
        <v>164</v>
      </c>
      <c r="U179" s="90" t="s">
        <v>25</v>
      </c>
      <c r="V179" s="92" t="s">
        <v>26</v>
      </c>
      <c r="W179" s="171"/>
      <c r="X179" s="80"/>
      <c r="Z179" s="109" t="s">
        <v>164</v>
      </c>
      <c r="AA179" s="90" t="s">
        <v>25</v>
      </c>
      <c r="AB179" s="92" t="s">
        <v>26</v>
      </c>
      <c r="AC179" s="171"/>
      <c r="AD179" s="80"/>
      <c r="AF179" s="109" t="s">
        <v>164</v>
      </c>
      <c r="AG179" s="90" t="s">
        <v>25</v>
      </c>
      <c r="AH179" s="92" t="s">
        <v>26</v>
      </c>
      <c r="AI179" s="171"/>
      <c r="AJ179" s="80"/>
    </row>
    <row r="180" spans="2:36" ht="17" thickBot="1" x14ac:dyDescent="0.25">
      <c r="C180" s="421"/>
      <c r="H180" s="79" t="s">
        <v>80</v>
      </c>
      <c r="I180" s="67"/>
      <c r="J180" s="62">
        <v>110</v>
      </c>
      <c r="K180" s="220">
        <f>IF(H161="Geen",0,J180)</f>
        <v>110</v>
      </c>
      <c r="L180" s="80" t="s">
        <v>81</v>
      </c>
      <c r="N180" s="79" t="s">
        <v>80</v>
      </c>
      <c r="O180" s="67"/>
      <c r="P180" s="62">
        <v>15</v>
      </c>
      <c r="Q180" s="192">
        <f>IF(N161="Geen",0,P180)</f>
        <v>15</v>
      </c>
      <c r="R180" s="80" t="s">
        <v>81</v>
      </c>
      <c r="T180" s="79" t="s">
        <v>80</v>
      </c>
      <c r="U180" s="67"/>
      <c r="V180" s="62">
        <v>110</v>
      </c>
      <c r="W180" s="192">
        <f>IF(T161="Geen",0,V180)</f>
        <v>110</v>
      </c>
      <c r="X180" s="80" t="s">
        <v>81</v>
      </c>
      <c r="Z180" s="79" t="s">
        <v>80</v>
      </c>
      <c r="AA180" s="67"/>
      <c r="AB180" s="62">
        <v>110</v>
      </c>
      <c r="AC180" s="192">
        <f>IF(Z161="Geen",0,AB180)</f>
        <v>110</v>
      </c>
      <c r="AD180" s="80" t="s">
        <v>81</v>
      </c>
      <c r="AF180" s="79" t="s">
        <v>80</v>
      </c>
      <c r="AG180" s="67"/>
      <c r="AH180" s="62">
        <v>105</v>
      </c>
      <c r="AI180" s="192">
        <f>IF(AF161="Geen",0,AH180)</f>
        <v>105</v>
      </c>
      <c r="AJ180" s="80" t="s">
        <v>81</v>
      </c>
    </row>
    <row r="181" spans="2:36" ht="18" thickTop="1" thickBot="1" x14ac:dyDescent="0.25">
      <c r="E181" s="28"/>
      <c r="H181" s="79" t="str">
        <f>'DATA - Variabelen &amp; waarden'!$B$274</f>
        <v>Drogestofgehalte input (feb/mrt)</v>
      </c>
      <c r="I181" s="69" t="s">
        <v>51</v>
      </c>
      <c r="J181" s="70"/>
      <c r="K181" s="66" cm="1">
        <f t="array" ref="K181">IF($O$109="Ja",$Q$115,IF(ISBLANK(J181),INDEX(VoorDroog[[#All],[Geen]:[Waarde MIN]],_xlfn.XMATCH('SCENARIO 3 - Slechtste geval'!H181,VoorDroog[[#All],[Voordrogen]]),_xlfn.XMATCH('SCENARIO 3 - Slechtste geval'!I181,VoorDroog[[#Headers],[Geen]:[Waarde MIN]])),J181))</f>
        <v>0.9</v>
      </c>
      <c r="L181" s="80" t="s">
        <v>83</v>
      </c>
      <c r="N181" s="79" t="str">
        <f>'DATA - Variabelen &amp; waarden'!$B$274</f>
        <v>Drogestofgehalte input (feb/mrt)</v>
      </c>
      <c r="O181" s="69" t="s">
        <v>51</v>
      </c>
      <c r="P181" s="70"/>
      <c r="Q181" s="66" cm="1">
        <f t="array" ref="Q181">IF($O$109="Ja",$Q$115,IF(ISBLANK(P181),INDEX(VoorDroog[[#All],[Geen]:[Waarde MIN]],_xlfn.XMATCH('SCENARIO 3 - Slechtste geval'!N181,VoorDroog[[#All],[Voordrogen]]),_xlfn.XMATCH('SCENARIO 3 - Slechtste geval'!O181,VoorDroog[[#Headers],[Geen]:[Waarde MIN]])),P181))</f>
        <v>0.9</v>
      </c>
      <c r="R181" s="80" t="s">
        <v>83</v>
      </c>
      <c r="T181" s="79" t="str">
        <f>'DATA - Variabelen &amp; waarden'!$B$274</f>
        <v>Drogestofgehalte input (feb/mrt)</v>
      </c>
      <c r="U181" s="69" t="s">
        <v>51</v>
      </c>
      <c r="V181" s="70"/>
      <c r="W181" s="66" cm="1">
        <f t="array" ref="W181">IF($O$109="Ja",$Q$115,IF(ISBLANK(V181),INDEX(VoorDroog[[#All],[Geen]:[Waarde MIN]],_xlfn.XMATCH('SCENARIO 3 - Slechtste geval'!T181,VoorDroog[[#All],[Voordrogen]]),_xlfn.XMATCH('SCENARIO 3 - Slechtste geval'!U181,VoorDroog[[#Headers],[Geen]:[Waarde MIN]])),V181))</f>
        <v>0.9</v>
      </c>
      <c r="X181" s="80" t="s">
        <v>83</v>
      </c>
      <c r="Z181" s="79" t="str">
        <f>'DATA - Variabelen &amp; waarden'!$B$274</f>
        <v>Drogestofgehalte input (feb/mrt)</v>
      </c>
      <c r="AA181" s="69" t="s">
        <v>51</v>
      </c>
      <c r="AB181" s="70"/>
      <c r="AC181" s="66" cm="1">
        <f t="array" ref="AC181">IF($O$109="Ja",$Q$115,IF(ISBLANK(AB181),INDEX(VoorDroog[[#All],[Geen]:[Waarde MIN]],_xlfn.XMATCH('SCENARIO 3 - Slechtste geval'!Z181,VoorDroog[[#All],[Voordrogen]]),_xlfn.XMATCH('SCENARIO 3 - Slechtste geval'!AA181,VoorDroog[[#Headers],[Geen]:[Waarde MIN]])),AB181))</f>
        <v>0.9</v>
      </c>
      <c r="AD181" s="80" t="s">
        <v>83</v>
      </c>
      <c r="AF181" s="79" t="str">
        <f>'DATA - Variabelen &amp; waarden'!$B$274</f>
        <v>Drogestofgehalte input (feb/mrt)</v>
      </c>
      <c r="AG181" s="69" t="s">
        <v>51</v>
      </c>
      <c r="AH181" s="70"/>
      <c r="AI181" s="66" cm="1">
        <f t="array" ref="AI181">IF($O$109="Ja",$Q$115,IF(ISBLANK(AH181),INDEX(VoorDroog[[#All],[Geen]:[Waarde MIN]],_xlfn.XMATCH('SCENARIO 3 - Slechtste geval'!AF181,VoorDroog[[#All],[Voordrogen]]),_xlfn.XMATCH('SCENARIO 3 - Slechtste geval'!AG181,VoorDroog[[#Headers],[Geen]:[Waarde MIN]])),AH181))</f>
        <v>0.9</v>
      </c>
      <c r="AJ181" s="80" t="s">
        <v>83</v>
      </c>
    </row>
    <row r="182" spans="2:36" ht="18" thickTop="1" thickBot="1" x14ac:dyDescent="0.25">
      <c r="H182" s="207" t="s">
        <v>85</v>
      </c>
      <c r="I182" s="195"/>
      <c r="J182" s="195"/>
      <c r="K182" s="220">
        <f>IFERROR(K180/K181,0)</f>
        <v>122.22222222222221</v>
      </c>
      <c r="L182" s="190" t="s">
        <v>86</v>
      </c>
      <c r="N182" s="187" t="s">
        <v>85</v>
      </c>
      <c r="O182" s="104"/>
      <c r="P182" s="104"/>
      <c r="Q182" s="215">
        <f>IFERROR(Q180/Q181,0)</f>
        <v>16.666666666666668</v>
      </c>
      <c r="R182" s="185" t="s">
        <v>86</v>
      </c>
      <c r="T182" s="187" t="s">
        <v>85</v>
      </c>
      <c r="U182" s="104"/>
      <c r="V182" s="104"/>
      <c r="W182" s="215">
        <f>IFERROR(W180/W181,0)</f>
        <v>122.22222222222221</v>
      </c>
      <c r="X182" s="185" t="s">
        <v>86</v>
      </c>
      <c r="Z182" s="187" t="s">
        <v>85</v>
      </c>
      <c r="AA182" s="104"/>
      <c r="AB182" s="104"/>
      <c r="AC182" s="215">
        <f>IFERROR(AC180/AC181,0)</f>
        <v>122.22222222222221</v>
      </c>
      <c r="AD182" s="185" t="s">
        <v>86</v>
      </c>
      <c r="AF182" s="187" t="s">
        <v>85</v>
      </c>
      <c r="AG182" s="104"/>
      <c r="AH182" s="104"/>
      <c r="AI182" s="215">
        <f>IFERROR(AI180/AI181,0)</f>
        <v>116.66666666666666</v>
      </c>
      <c r="AJ182" s="185" t="s">
        <v>86</v>
      </c>
    </row>
    <row r="183" spans="2:36" ht="18" thickTop="1" thickBot="1" x14ac:dyDescent="0.25">
      <c r="D183" s="28"/>
      <c r="E183" s="28"/>
      <c r="H183" s="358" t="s">
        <v>165</v>
      </c>
      <c r="I183" s="69" t="s">
        <v>52</v>
      </c>
      <c r="J183" s="242"/>
      <c r="K183" s="68" cm="1">
        <f t="array" ref="K183">IF(ISBLANK(J183),_xlfn.XLOOKUP(I183,Tabel37[[#Headers],[Geen]:[Waarde MIN]],'DATA - Variabelen &amp; waarden'!$D$383:$G$383,"Selecteer waarde"),J183)</f>
        <v>20</v>
      </c>
      <c r="L183" s="190" t="s">
        <v>92</v>
      </c>
      <c r="N183" s="199" t="s">
        <v>165</v>
      </c>
      <c r="O183" s="69" t="s">
        <v>52</v>
      </c>
      <c r="P183" s="242"/>
      <c r="Q183" s="68" cm="1">
        <f t="array" ref="Q183">IF(ISBLANK(P183),_xlfn.XLOOKUP(O183,Tabel37[[#Headers],[Geen]:[Waarde MIN]],'DATA - Variabelen &amp; waarden'!$D$383:$G$383,"Selecteer waarde"),P183)</f>
        <v>20</v>
      </c>
      <c r="R183" s="190" t="s">
        <v>92</v>
      </c>
      <c r="T183" s="199" t="s">
        <v>165</v>
      </c>
      <c r="U183" s="69" t="s">
        <v>52</v>
      </c>
      <c r="V183" s="242"/>
      <c r="W183" s="68" cm="1">
        <f t="array" ref="W183">IF(ISBLANK(V183),_xlfn.XLOOKUP(U183,Tabel37[[#Headers],[Geen]:[Waarde MIN]],'DATA - Variabelen &amp; waarden'!$D$383:$G$383,"Selecteer waarde"),V183)</f>
        <v>20</v>
      </c>
      <c r="X183" s="190" t="s">
        <v>92</v>
      </c>
      <c r="Z183" s="199" t="s">
        <v>165</v>
      </c>
      <c r="AA183" s="69" t="s">
        <v>52</v>
      </c>
      <c r="AB183" s="242"/>
      <c r="AC183" s="68" cm="1">
        <f t="array" ref="AC183">IF(ISBLANK(AB183),_xlfn.XLOOKUP(AA183,Tabel37[[#Headers],[Geen]:[Waarde MIN]],'DATA - Variabelen &amp; waarden'!$D$383:$G$383,"Selecteer waarde"),AB183)</f>
        <v>20</v>
      </c>
      <c r="AD183" s="190" t="s">
        <v>92</v>
      </c>
      <c r="AF183" s="199" t="s">
        <v>165</v>
      </c>
      <c r="AG183" s="69" t="s">
        <v>52</v>
      </c>
      <c r="AH183" s="242"/>
      <c r="AI183" s="68" cm="1">
        <f t="array" ref="AI183">IF(ISBLANK(AH183),_xlfn.XLOOKUP(AG183,Tabel37[[#Headers],[Geen]:[Waarde MIN]],'DATA - Variabelen &amp; waarden'!$D$383:$G$383,"Selecteer waarde"),AH183)</f>
        <v>20</v>
      </c>
      <c r="AJ183" s="190" t="s">
        <v>92</v>
      </c>
    </row>
    <row r="184" spans="2:36" ht="18" thickTop="1" thickBot="1" x14ac:dyDescent="0.25">
      <c r="H184" s="79" t="s">
        <v>166</v>
      </c>
      <c r="I184" s="69" t="s">
        <v>76</v>
      </c>
      <c r="J184" s="171"/>
      <c r="K184" s="171"/>
      <c r="L184" s="80"/>
      <c r="N184" s="79" t="s">
        <v>166</v>
      </c>
      <c r="O184" s="69" t="s">
        <v>167</v>
      </c>
      <c r="P184" s="171"/>
      <c r="Q184" s="171"/>
      <c r="R184" s="80"/>
      <c r="T184" s="79" t="s">
        <v>166</v>
      </c>
      <c r="U184" s="69" t="s">
        <v>76</v>
      </c>
      <c r="V184" s="171"/>
      <c r="W184" s="171"/>
      <c r="X184" s="80"/>
      <c r="Z184" s="79" t="s">
        <v>166</v>
      </c>
      <c r="AA184" s="69" t="s">
        <v>167</v>
      </c>
      <c r="AB184" s="171"/>
      <c r="AC184" s="171"/>
      <c r="AD184" s="80"/>
      <c r="AF184" s="79" t="s">
        <v>166</v>
      </c>
      <c r="AG184" s="69" t="s">
        <v>76</v>
      </c>
      <c r="AH184" s="171"/>
      <c r="AI184" s="171"/>
      <c r="AJ184" s="80"/>
    </row>
    <row r="185" spans="2:36" ht="17" thickTop="1" x14ac:dyDescent="0.2">
      <c r="B185" s="268"/>
      <c r="H185" s="79"/>
      <c r="I185" s="171"/>
      <c r="J185" s="171"/>
      <c r="K185" s="171"/>
      <c r="L185" s="80"/>
      <c r="N185" s="79"/>
      <c r="O185" s="171"/>
      <c r="P185" s="171"/>
      <c r="Q185" s="171"/>
      <c r="R185" s="80"/>
      <c r="T185" s="79"/>
      <c r="U185" s="171"/>
      <c r="V185" s="171"/>
      <c r="W185" s="171"/>
      <c r="X185" s="80"/>
      <c r="Z185" s="79"/>
      <c r="AA185" s="171"/>
      <c r="AB185" s="171"/>
      <c r="AC185" s="171"/>
      <c r="AD185" s="80"/>
      <c r="AF185" s="79"/>
      <c r="AG185" s="171"/>
      <c r="AH185" s="171"/>
      <c r="AI185" s="171"/>
      <c r="AJ185" s="80"/>
    </row>
    <row r="186" spans="2:36" x14ac:dyDescent="0.2">
      <c r="B186" s="268"/>
      <c r="H186" s="109" t="s">
        <v>111</v>
      </c>
      <c r="I186" s="171"/>
      <c r="J186" s="171"/>
      <c r="K186" s="171"/>
      <c r="L186" s="80"/>
      <c r="N186" s="109" t="s">
        <v>111</v>
      </c>
      <c r="O186" s="171"/>
      <c r="P186" s="171"/>
      <c r="Q186" s="171"/>
      <c r="R186" s="80"/>
      <c r="T186" s="109" t="s">
        <v>111</v>
      </c>
      <c r="U186" s="171"/>
      <c r="V186" s="171"/>
      <c r="W186" s="171"/>
      <c r="X186" s="80"/>
      <c r="Z186" s="109" t="s">
        <v>111</v>
      </c>
      <c r="AA186" s="171"/>
      <c r="AB186" s="171"/>
      <c r="AC186" s="171"/>
      <c r="AD186" s="80"/>
      <c r="AF186" s="109" t="s">
        <v>111</v>
      </c>
      <c r="AG186" s="171"/>
      <c r="AH186" s="171"/>
      <c r="AI186" s="171"/>
      <c r="AJ186" s="80"/>
    </row>
    <row r="187" spans="2:36" x14ac:dyDescent="0.2">
      <c r="B187" s="268"/>
      <c r="C187" s="421"/>
      <c r="H187" s="187" t="s">
        <v>168</v>
      </c>
      <c r="I187" s="104"/>
      <c r="J187" s="104"/>
      <c r="K187" s="214">
        <f>K162</f>
        <v>0.9</v>
      </c>
      <c r="L187" s="185" t="s">
        <v>83</v>
      </c>
      <c r="N187" s="187" t="s">
        <v>168</v>
      </c>
      <c r="O187" s="104"/>
      <c r="P187" s="104"/>
      <c r="Q187" s="214">
        <f>Q162</f>
        <v>0.98</v>
      </c>
      <c r="R187" s="185" t="s">
        <v>83</v>
      </c>
      <c r="T187" s="187" t="s">
        <v>168</v>
      </c>
      <c r="U187" s="104"/>
      <c r="V187" s="104"/>
      <c r="W187" s="214">
        <f>W162</f>
        <v>0.8</v>
      </c>
      <c r="X187" s="185" t="s">
        <v>83</v>
      </c>
      <c r="Z187" s="187" t="s">
        <v>168</v>
      </c>
      <c r="AA187" s="104"/>
      <c r="AB187" s="104"/>
      <c r="AC187" s="214">
        <f>AC162</f>
        <v>0.97</v>
      </c>
      <c r="AD187" s="185" t="s">
        <v>83</v>
      </c>
      <c r="AF187" s="187" t="s">
        <v>168</v>
      </c>
      <c r="AG187" s="104"/>
      <c r="AH187" s="104"/>
      <c r="AI187" s="214">
        <f>AI162</f>
        <v>0.9</v>
      </c>
      <c r="AJ187" s="185" t="s">
        <v>83</v>
      </c>
    </row>
    <row r="188" spans="2:36" x14ac:dyDescent="0.2">
      <c r="B188" s="268"/>
      <c r="H188" s="207" t="s">
        <v>88</v>
      </c>
      <c r="I188" s="195"/>
      <c r="J188" s="195"/>
      <c r="K188" s="259">
        <f>IFERROR(IF(K181&lt;K187,K180/K187,K180),0)</f>
        <v>110</v>
      </c>
      <c r="L188" s="190" t="s">
        <v>86</v>
      </c>
      <c r="N188" s="207" t="s">
        <v>88</v>
      </c>
      <c r="O188" s="195"/>
      <c r="P188" s="195"/>
      <c r="Q188" s="232">
        <f>IFERROR(IF(Q181&lt;Q187,Q180/Q187,Q180),0)</f>
        <v>15.306122448979592</v>
      </c>
      <c r="R188" s="190" t="s">
        <v>86</v>
      </c>
      <c r="T188" s="207" t="s">
        <v>88</v>
      </c>
      <c r="U188" s="195"/>
      <c r="V188" s="195"/>
      <c r="W188" s="232">
        <f>IFERROR(IF(W181&lt;W187,W180/W187,W180),0)</f>
        <v>110</v>
      </c>
      <c r="X188" s="190" t="s">
        <v>86</v>
      </c>
      <c r="Z188" s="207" t="s">
        <v>88</v>
      </c>
      <c r="AA188" s="195"/>
      <c r="AB188" s="195"/>
      <c r="AC188" s="232">
        <f>IFERROR(IF(AC181&lt;AC187,AC180/AC187,AC180),0)</f>
        <v>113.40206185567011</v>
      </c>
      <c r="AD188" s="190" t="s">
        <v>86</v>
      </c>
      <c r="AF188" s="207" t="s">
        <v>88</v>
      </c>
      <c r="AG188" s="195"/>
      <c r="AH188" s="195"/>
      <c r="AI188" s="232">
        <f>IFERROR(IF(AI181&lt;AI187,AI180/AI187,AI180),0)</f>
        <v>105</v>
      </c>
      <c r="AJ188" s="190" t="s">
        <v>86</v>
      </c>
    </row>
    <row r="189" spans="2:36" x14ac:dyDescent="0.2">
      <c r="B189" s="268"/>
      <c r="H189" s="207" t="s">
        <v>89</v>
      </c>
      <c r="I189" s="195"/>
      <c r="J189" s="195"/>
      <c r="K189" s="259">
        <f>IF(K181&lt;K187,K182-K188,0)</f>
        <v>0</v>
      </c>
      <c r="L189" s="190" t="s">
        <v>86</v>
      </c>
      <c r="N189" s="207" t="s">
        <v>89</v>
      </c>
      <c r="O189" s="195"/>
      <c r="P189" s="195"/>
      <c r="Q189" s="232">
        <f>IF(Q181&lt;Q187,Q182-Q188,0)</f>
        <v>1.3605442176870763</v>
      </c>
      <c r="R189" s="190" t="s">
        <v>86</v>
      </c>
      <c r="T189" s="207" t="s">
        <v>89</v>
      </c>
      <c r="U189" s="195"/>
      <c r="V189" s="195"/>
      <c r="W189" s="232">
        <f>IF(W181&lt;W187,W182-W188,0)</f>
        <v>0</v>
      </c>
      <c r="X189" s="190" t="s">
        <v>86</v>
      </c>
      <c r="Z189" s="207" t="s">
        <v>89</v>
      </c>
      <c r="AA189" s="195"/>
      <c r="AB189" s="195"/>
      <c r="AC189" s="232">
        <f>IF(AC181&lt;AC187,AC182-AC188,0)</f>
        <v>8.820160366552102</v>
      </c>
      <c r="AD189" s="190" t="s">
        <v>86</v>
      </c>
      <c r="AF189" s="207" t="s">
        <v>89</v>
      </c>
      <c r="AG189" s="195"/>
      <c r="AH189" s="195"/>
      <c r="AI189" s="232">
        <f>IF(AI181&lt;AI187,AI182-AI188,0)</f>
        <v>0</v>
      </c>
      <c r="AJ189" s="190" t="s">
        <v>86</v>
      </c>
    </row>
    <row r="190" spans="2:36" x14ac:dyDescent="0.2">
      <c r="B190" s="268"/>
      <c r="H190" s="251" t="s">
        <v>169</v>
      </c>
      <c r="I190" s="90" t="s">
        <v>25</v>
      </c>
      <c r="J190" s="92" t="s">
        <v>26</v>
      </c>
      <c r="K190" s="171"/>
      <c r="L190" s="80"/>
      <c r="N190" s="251" t="s">
        <v>169</v>
      </c>
      <c r="O190" s="90" t="s">
        <v>25</v>
      </c>
      <c r="P190" s="92" t="s">
        <v>26</v>
      </c>
      <c r="Q190" s="171"/>
      <c r="R190" s="80"/>
      <c r="T190" s="251" t="s">
        <v>169</v>
      </c>
      <c r="U190" s="90" t="s">
        <v>25</v>
      </c>
      <c r="V190" s="92" t="s">
        <v>26</v>
      </c>
      <c r="W190" s="171"/>
      <c r="X190" s="80"/>
      <c r="Z190" s="251" t="s">
        <v>169</v>
      </c>
      <c r="AA190" s="90" t="s">
        <v>25</v>
      </c>
      <c r="AB190" s="92" t="s">
        <v>26</v>
      </c>
      <c r="AC190" s="171"/>
      <c r="AD190" s="80"/>
      <c r="AF190" s="251" t="s">
        <v>169</v>
      </c>
      <c r="AG190" s="90" t="s">
        <v>25</v>
      </c>
      <c r="AH190" s="92" t="s">
        <v>26</v>
      </c>
      <c r="AI190" s="171"/>
      <c r="AJ190" s="80"/>
    </row>
    <row r="191" spans="2:36" ht="17" thickBot="1" x14ac:dyDescent="0.25">
      <c r="B191" s="268"/>
      <c r="H191" s="187" t="s">
        <v>96</v>
      </c>
      <c r="I191" s="171"/>
      <c r="J191" s="62">
        <v>85</v>
      </c>
      <c r="K191" s="104">
        <f>J191</f>
        <v>85</v>
      </c>
      <c r="L191" s="185" t="s">
        <v>97</v>
      </c>
      <c r="N191" s="187" t="s">
        <v>96</v>
      </c>
      <c r="O191" s="171"/>
      <c r="P191" s="62">
        <v>85</v>
      </c>
      <c r="Q191" s="104">
        <f>P191</f>
        <v>85</v>
      </c>
      <c r="R191" s="185" t="s">
        <v>97</v>
      </c>
      <c r="T191" s="187" t="s">
        <v>96</v>
      </c>
      <c r="U191" s="171"/>
      <c r="V191" s="62">
        <v>85</v>
      </c>
      <c r="W191" s="104">
        <f>V191</f>
        <v>85</v>
      </c>
      <c r="X191" s="185" t="s">
        <v>97</v>
      </c>
      <c r="Z191" s="187" t="s">
        <v>96</v>
      </c>
      <c r="AA191" s="171"/>
      <c r="AB191" s="62">
        <v>85</v>
      </c>
      <c r="AC191" s="104">
        <f>AB191</f>
        <v>85</v>
      </c>
      <c r="AD191" s="185" t="s">
        <v>97</v>
      </c>
      <c r="AF191" s="187" t="s">
        <v>96</v>
      </c>
      <c r="AG191" s="171"/>
      <c r="AH191" s="62">
        <v>85</v>
      </c>
      <c r="AI191" s="104">
        <f>AH191</f>
        <v>85</v>
      </c>
      <c r="AJ191" s="185" t="s">
        <v>97</v>
      </c>
    </row>
    <row r="192" spans="2:36" ht="18" thickTop="1" thickBot="1" x14ac:dyDescent="0.25">
      <c r="B192" s="268"/>
      <c r="H192" s="237" t="s">
        <v>99</v>
      </c>
      <c r="I192" s="69" t="s">
        <v>52</v>
      </c>
      <c r="J192" s="62"/>
      <c r="K192" s="236" cm="1">
        <f t="array" ref="K192">IF(ISBLANK(J192),INDEX(ProcesCost01[[#All],[Geen]:[Waarde MIN]],_xlfn.XMATCH('SCENARIO 3 - Slechtste geval'!H192,ProcesCost01[[#All],[Transportkosten]]),_xlfn.XMATCH('SCENARIO 3 - Slechtste geval'!I192,ProcesCost01[[#Headers],[Geen]:[Waarde MIN]])),J192)</f>
        <v>0.05</v>
      </c>
      <c r="L192" s="185" t="s">
        <v>100</v>
      </c>
      <c r="N192" s="237" t="s">
        <v>99</v>
      </c>
      <c r="O192" s="69" t="s">
        <v>52</v>
      </c>
      <c r="P192" s="62"/>
      <c r="Q192" s="236" cm="1">
        <f t="array" ref="Q192">IF(ISBLANK(P192),INDEX(ProcesCost01[[#All],[Geen]:[Waarde MIN]],_xlfn.XMATCH('SCENARIO 3 - Slechtste geval'!N192,ProcesCost01[[#All],[Transportkosten]]),_xlfn.XMATCH('SCENARIO 3 - Slechtste geval'!O192,ProcesCost01[[#Headers],[Geen]:[Waarde MIN]])),P192)</f>
        <v>0.05</v>
      </c>
      <c r="R192" s="185" t="s">
        <v>100</v>
      </c>
      <c r="T192" s="237" t="s">
        <v>99</v>
      </c>
      <c r="U192" s="69" t="s">
        <v>52</v>
      </c>
      <c r="V192" s="62"/>
      <c r="W192" s="236" cm="1">
        <f t="array" ref="W192">IF(ISBLANK(V192),INDEX(ProcesCost01[[#All],[Geen]:[Waarde MIN]],_xlfn.XMATCH('SCENARIO 3 - Slechtste geval'!T192,ProcesCost01[[#All],[Transportkosten]]),_xlfn.XMATCH('SCENARIO 3 - Slechtste geval'!U192,ProcesCost01[[#Headers],[Geen]:[Waarde MIN]])),V192)</f>
        <v>0.05</v>
      </c>
      <c r="X192" s="185" t="s">
        <v>100</v>
      </c>
      <c r="Z192" s="237" t="s">
        <v>99</v>
      </c>
      <c r="AA192" s="69" t="s">
        <v>52</v>
      </c>
      <c r="AB192" s="62"/>
      <c r="AC192" s="236" cm="1">
        <f t="array" ref="AC192">IF(ISBLANK(AB192),INDEX(ProcesCost01[[#All],[Geen]:[Waarde MIN]],_xlfn.XMATCH('SCENARIO 3 - Slechtste geval'!Z192,ProcesCost01[[#All],[Transportkosten]]),_xlfn.XMATCH('SCENARIO 3 - Slechtste geval'!AA192,ProcesCost01[[#Headers],[Geen]:[Waarde MIN]])),AB192)</f>
        <v>0.05</v>
      </c>
      <c r="AD192" s="185" t="s">
        <v>100</v>
      </c>
      <c r="AF192" s="237" t="s">
        <v>99</v>
      </c>
      <c r="AG192" s="69" t="s">
        <v>52</v>
      </c>
      <c r="AH192" s="62"/>
      <c r="AI192" s="236" cm="1">
        <f t="array" ref="AI192">IF(ISBLANK(AH192),INDEX(ProcesCost01[[#All],[Geen]:[Waarde MIN]],_xlfn.XMATCH('SCENARIO 3 - Slechtste geval'!AF192,ProcesCost01[[#All],[Transportkosten]]),_xlfn.XMATCH('SCENARIO 3 - Slechtste geval'!AG192,ProcesCost01[[#Headers],[Geen]:[Waarde MIN]])),AH192)</f>
        <v>0.05</v>
      </c>
      <c r="AJ192" s="185" t="s">
        <v>100</v>
      </c>
    </row>
    <row r="193" spans="2:36" ht="17" thickTop="1" x14ac:dyDescent="0.2">
      <c r="B193" s="268"/>
      <c r="H193" s="207" t="s">
        <v>101</v>
      </c>
      <c r="I193" s="171"/>
      <c r="J193" s="62"/>
      <c r="K193" s="192">
        <f>IF(K181&lt;K187,IF(I184="Nee",0,IF(ISBLANK(J193),K191*K192*K182,J193)),0)</f>
        <v>0</v>
      </c>
      <c r="L193" s="80" t="s">
        <v>102</v>
      </c>
      <c r="N193" s="207" t="s">
        <v>101</v>
      </c>
      <c r="O193" s="171"/>
      <c r="P193" s="62"/>
      <c r="Q193" s="192">
        <f>IF(Q181&lt;Q187,IF(O184="Nee",0,IF(ISBLANK(P193),Q191*Q192*Q182,P193)),0)</f>
        <v>70.833333333333343</v>
      </c>
      <c r="R193" s="80" t="s">
        <v>102</v>
      </c>
      <c r="T193" s="207" t="s">
        <v>101</v>
      </c>
      <c r="U193" s="171"/>
      <c r="V193" s="62"/>
      <c r="W193" s="192">
        <f>IF(W181&lt;W187,IF(U184="Nee",0,IF(ISBLANK(V193),W191*W192*W182,V193)),0)</f>
        <v>0</v>
      </c>
      <c r="X193" s="80" t="s">
        <v>102</v>
      </c>
      <c r="Z193" s="207" t="s">
        <v>101</v>
      </c>
      <c r="AA193" s="171"/>
      <c r="AB193" s="62"/>
      <c r="AC193" s="192">
        <f>IF(AC181&lt;AC187,IF(AA184="Nee",0,IF(ISBLANK(AB193),AC191*AC192*AC182,AB193)),0)</f>
        <v>519.44444444444446</v>
      </c>
      <c r="AD193" s="80" t="s">
        <v>102</v>
      </c>
      <c r="AF193" s="207" t="s">
        <v>101</v>
      </c>
      <c r="AG193" s="171"/>
      <c r="AH193" s="62"/>
      <c r="AI193" s="192">
        <f>IF(AI181&lt;AI187,IF(AG184="Nee",0,IF(ISBLANK(AH193),AI191*AI192*AI182,AH193)),0)</f>
        <v>0</v>
      </c>
      <c r="AJ193" s="80" t="s">
        <v>102</v>
      </c>
    </row>
    <row r="194" spans="2:36" ht="17" thickBot="1" x14ac:dyDescent="0.25">
      <c r="B194" s="268"/>
      <c r="H194" s="251" t="s">
        <v>170</v>
      </c>
      <c r="I194" s="90" t="s">
        <v>25</v>
      </c>
      <c r="J194" s="92" t="s">
        <v>26</v>
      </c>
      <c r="K194" s="171"/>
      <c r="L194" s="80"/>
      <c r="N194" s="251" t="s">
        <v>170</v>
      </c>
      <c r="O194" s="90" t="s">
        <v>25</v>
      </c>
      <c r="P194" s="92" t="s">
        <v>26</v>
      </c>
      <c r="Q194" s="171"/>
      <c r="R194" s="80"/>
      <c r="T194" s="251" t="s">
        <v>170</v>
      </c>
      <c r="U194" s="90" t="s">
        <v>25</v>
      </c>
      <c r="V194" s="92" t="s">
        <v>26</v>
      </c>
      <c r="W194" s="171"/>
      <c r="X194" s="80"/>
      <c r="Z194" s="251" t="s">
        <v>170</v>
      </c>
      <c r="AA194" s="90" t="s">
        <v>25</v>
      </c>
      <c r="AB194" s="92" t="s">
        <v>26</v>
      </c>
      <c r="AC194" s="171"/>
      <c r="AD194" s="80"/>
      <c r="AF194" s="251" t="s">
        <v>170</v>
      </c>
      <c r="AG194" s="90" t="s">
        <v>25</v>
      </c>
      <c r="AH194" s="92" t="s">
        <v>26</v>
      </c>
      <c r="AI194" s="171"/>
      <c r="AJ194" s="80"/>
    </row>
    <row r="195" spans="2:36" ht="18" thickTop="1" thickBot="1" x14ac:dyDescent="0.25">
      <c r="H195" s="237" t="s">
        <v>114</v>
      </c>
      <c r="I195" s="69" t="s">
        <v>52</v>
      </c>
      <c r="J195" s="77"/>
      <c r="K195" s="240" cm="1">
        <f t="array" ref="K195">IF(ISBLANK(J195),INDEX(DryingCost1[[#All],[Geen]:[Waarde MIN]],_xlfn.XMATCH('SCENARIO 3 - Slechtste geval'!H195,DryingCost1[[#All],[Drogen - Kosten]]),_xlfn.XMATCH('SCENARIO 3 - Slechtste geval'!I195,DryingCost1[[#Headers],[Geen]:[Waarde MIN]])),J195)</f>
        <v>500</v>
      </c>
      <c r="L195" s="185" t="s">
        <v>115</v>
      </c>
      <c r="N195" s="237" t="s">
        <v>171</v>
      </c>
      <c r="O195" s="69" t="s">
        <v>52</v>
      </c>
      <c r="P195" s="77"/>
      <c r="Q195" s="240" cm="1">
        <f t="array" ref="Q195">IF(ISBLANK(P195),INDEX(DryingCost1[[#All],[Geen]:[Waarde MIN]],_xlfn.XMATCH('SCENARIO 3 - Slechtste geval'!N195,DryingCost1[[#All],[Drogen - Kosten]]),_xlfn.XMATCH('SCENARIO 3 - Slechtste geval'!O195,DryingCost1[[#Headers],[Geen]:[Waarde MIN]])),P195)</f>
        <v>600</v>
      </c>
      <c r="R195" s="185" t="s">
        <v>115</v>
      </c>
      <c r="T195" s="237" t="s">
        <v>114</v>
      </c>
      <c r="U195" s="69" t="s">
        <v>52</v>
      </c>
      <c r="V195" s="77"/>
      <c r="W195" s="240" cm="1">
        <f t="array" ref="W195">IF(ISBLANK(V195),INDEX(DryingCost1[[#All],[Geen]:[Waarde MIN]],_xlfn.XMATCH('SCENARIO 3 - Slechtste geval'!T195,DryingCost1[[#All],[Drogen - Kosten]]),_xlfn.XMATCH('SCENARIO 3 - Slechtste geval'!U195,DryingCost1[[#Headers],[Geen]:[Waarde MIN]])),V195)</f>
        <v>500</v>
      </c>
      <c r="X195" s="185" t="s">
        <v>115</v>
      </c>
      <c r="Z195" s="237" t="s">
        <v>114</v>
      </c>
      <c r="AA195" s="69" t="s">
        <v>52</v>
      </c>
      <c r="AB195" s="77"/>
      <c r="AC195" s="240" cm="1">
        <f t="array" ref="AC195">IF(ISBLANK(AB195),INDEX(DryingCost1[[#All],[Geen]:[Waarde MIN]],_xlfn.XMATCH('SCENARIO 3 - Slechtste geval'!Z195,DryingCost1[[#All],[Drogen - Kosten]]),_xlfn.XMATCH('SCENARIO 3 - Slechtste geval'!AA195,DryingCost1[[#Headers],[Geen]:[Waarde MIN]])),AB195)</f>
        <v>500</v>
      </c>
      <c r="AD195" s="185" t="s">
        <v>115</v>
      </c>
      <c r="AF195" s="237" t="s">
        <v>114</v>
      </c>
      <c r="AG195" s="69" t="s">
        <v>52</v>
      </c>
      <c r="AH195" s="77"/>
      <c r="AI195" s="240" cm="1">
        <f t="array" ref="AI195">IF(ISBLANK(AH195),INDEX(DryingCost1[[#All],[Geen]:[Waarde MIN]],_xlfn.XMATCH('SCENARIO 3 - Slechtste geval'!AF195,DryingCost1[[#All],[Drogen - Kosten]]),_xlfn.XMATCH('SCENARIO 3 - Slechtste geval'!AG195,DryingCost1[[#Headers],[Geen]:[Waarde MIN]])),AH195)</f>
        <v>500</v>
      </c>
      <c r="AJ195" s="185" t="s">
        <v>115</v>
      </c>
    </row>
    <row r="196" spans="2:36" ht="18" thickTop="1" thickBot="1" x14ac:dyDescent="0.25">
      <c r="H196" s="187" t="s">
        <v>117</v>
      </c>
      <c r="I196" s="69" t="s">
        <v>51</v>
      </c>
      <c r="J196" s="76"/>
      <c r="K196" s="241" cm="1">
        <f t="array" ref="K196">IF(ISBLANK(J196),INDEX(DryingCost11[[#All],[Geen]:[Waarde MIN]],_xlfn.XMATCH('SCENARIO 3 - Slechtste geval'!H195,DryingCost11[[#All],[Drogen - Producteffciency]]),_xlfn.XMATCH('SCENARIO 3 - Slechtste geval'!I196,DryingCost11[[#Headers],[Geen]:[Waarde MIN]])),J196)</f>
        <v>0.85</v>
      </c>
      <c r="L196" s="185" t="s">
        <v>58</v>
      </c>
      <c r="N196" s="187" t="s">
        <v>117</v>
      </c>
      <c r="O196" s="69" t="s">
        <v>51</v>
      </c>
      <c r="P196" s="76"/>
      <c r="Q196" s="241" cm="1">
        <f t="array" ref="Q196">IF(ISBLANK(P196),INDEX(DryingCost11[[#All],[Geen]:[Waarde MIN]],_xlfn.XMATCH('SCENARIO 3 - Slechtste geval'!N195,DryingCost11[[#All],[Drogen - Producteffciency]]),_xlfn.XMATCH('SCENARIO 3 - Slechtste geval'!O196,DryingCost11[[#Headers],[Geen]:[Waarde MIN]])),P196)</f>
        <v>1</v>
      </c>
      <c r="R196" s="185" t="s">
        <v>58</v>
      </c>
      <c r="T196" s="206" t="s">
        <v>117</v>
      </c>
      <c r="U196" s="69" t="s">
        <v>51</v>
      </c>
      <c r="V196" s="76"/>
      <c r="W196" s="241" cm="1">
        <f t="array" ref="W196">IF(ISBLANK(V196),INDEX(DryingCost11[[#All],[Geen]:[Waarde MIN]],_xlfn.XMATCH('SCENARIO 3 - Slechtste geval'!T195,DryingCost11[[#All],[Drogen - Producteffciency]]),_xlfn.XMATCH('SCENARIO 3 - Slechtste geval'!U196,DryingCost11[[#Headers],[Geen]:[Waarde MIN]])),V196)</f>
        <v>0.85</v>
      </c>
      <c r="X196" s="185" t="s">
        <v>58</v>
      </c>
      <c r="Z196" s="206" t="s">
        <v>117</v>
      </c>
      <c r="AA196" s="69" t="s">
        <v>51</v>
      </c>
      <c r="AB196" s="76"/>
      <c r="AC196" s="241" cm="1">
        <f t="array" ref="AC196">IF(ISBLANK(AB196),INDEX(DryingCost11[[#All],[Geen]:[Waarde MIN]],_xlfn.XMATCH('SCENARIO 3 - Slechtste geval'!Z195,DryingCost11[[#All],[Drogen - Producteffciency]]),_xlfn.XMATCH('SCENARIO 3 - Slechtste geval'!AA196,DryingCost11[[#Headers],[Geen]:[Waarde MIN]])),AB196)</f>
        <v>0.85</v>
      </c>
      <c r="AD196" s="185" t="s">
        <v>58</v>
      </c>
      <c r="AF196" s="206" t="s">
        <v>117</v>
      </c>
      <c r="AG196" s="69" t="s">
        <v>51</v>
      </c>
      <c r="AH196" s="76"/>
      <c r="AI196" s="241" cm="1">
        <f t="array" ref="AI196">IF(ISBLANK(AH196),INDEX(DryingCost11[[#All],[Geen]:[Waarde MIN]],_xlfn.XMATCH('SCENARIO 3 - Slechtste geval'!AF195,DryingCost11[[#All],[Drogen - Producteffciency]]),_xlfn.XMATCH('SCENARIO 3 - Slechtste geval'!AG196,DryingCost11[[#Headers],[Geen]:[Waarde MIN]])),AH196)</f>
        <v>0.85</v>
      </c>
      <c r="AJ196" s="185" t="s">
        <v>58</v>
      </c>
    </row>
    <row r="197" spans="2:36" ht="17" thickTop="1" x14ac:dyDescent="0.2">
      <c r="H197" s="238" t="s">
        <v>111</v>
      </c>
      <c r="I197" s="171"/>
      <c r="J197" s="62"/>
      <c r="K197" s="192">
        <f>IF(I184="Nee",0,IF(ISBLANK(J197),K195*K189,J197))</f>
        <v>0</v>
      </c>
      <c r="L197" s="80" t="s">
        <v>102</v>
      </c>
      <c r="N197" s="238" t="s">
        <v>111</v>
      </c>
      <c r="O197" s="171"/>
      <c r="P197" s="62"/>
      <c r="Q197" s="192">
        <f>IF(O184="Nee",0,IF(ISBLANK(P197),Q195*Q189,P197))</f>
        <v>816.32653061224585</v>
      </c>
      <c r="R197" s="80" t="s">
        <v>102</v>
      </c>
      <c r="T197" s="238" t="s">
        <v>111</v>
      </c>
      <c r="U197" s="171"/>
      <c r="V197" s="62"/>
      <c r="W197" s="192">
        <f>IF(U184="Nee",0,IF(ISBLANK(V197),W195*W189,V197))</f>
        <v>0</v>
      </c>
      <c r="X197" s="80" t="s">
        <v>102</v>
      </c>
      <c r="Z197" s="238" t="s">
        <v>111</v>
      </c>
      <c r="AA197" s="171"/>
      <c r="AB197" s="62"/>
      <c r="AC197" s="192">
        <f>IF(AA184="Nee",0,IF(ISBLANK(AB197),AC195*AC189,AB197))</f>
        <v>4410.0801832760508</v>
      </c>
      <c r="AD197" s="80" t="s">
        <v>102</v>
      </c>
      <c r="AF197" s="238" t="s">
        <v>111</v>
      </c>
      <c r="AG197" s="171"/>
      <c r="AH197" s="62"/>
      <c r="AI197" s="192">
        <f>IF(AG184="Nee",0,IF(ISBLANK(AH197),AI195*AI189,AH197))</f>
        <v>0</v>
      </c>
      <c r="AJ197" s="80" t="s">
        <v>102</v>
      </c>
    </row>
    <row r="198" spans="2:36" x14ac:dyDescent="0.2">
      <c r="H198" s="207" t="s">
        <v>118</v>
      </c>
      <c r="I198" s="171"/>
      <c r="J198" s="171"/>
      <c r="K198" s="259">
        <f>IF(K181&lt;K187,IF(I184="Nee",0,K188*K196),0)</f>
        <v>0</v>
      </c>
      <c r="L198" s="80" t="s">
        <v>86</v>
      </c>
      <c r="N198" s="207" t="s">
        <v>118</v>
      </c>
      <c r="O198" s="171"/>
      <c r="P198" s="171"/>
      <c r="Q198" s="221">
        <f>IF(Q181&lt;Q187,IF(O184="Nee",0,Q188*Q196),0)</f>
        <v>15.306122448979592</v>
      </c>
      <c r="R198" s="80" t="s">
        <v>86</v>
      </c>
      <c r="T198" s="207" t="s">
        <v>118</v>
      </c>
      <c r="U198" s="171"/>
      <c r="V198" s="171"/>
      <c r="W198" s="221">
        <f>IF(W181&lt;W187,IF(U184="Nee",0,W188*W196),0)</f>
        <v>0</v>
      </c>
      <c r="X198" s="80" t="s">
        <v>86</v>
      </c>
      <c r="Z198" s="207" t="s">
        <v>118</v>
      </c>
      <c r="AA198" s="171"/>
      <c r="AB198" s="171"/>
      <c r="AC198" s="221">
        <f>IF(AC181&lt;AC187,IF(AA184="Nee",0,AC188*AC196),0)</f>
        <v>96.391752577319593</v>
      </c>
      <c r="AD198" s="80" t="s">
        <v>86</v>
      </c>
      <c r="AF198" s="207" t="s">
        <v>118</v>
      </c>
      <c r="AG198" s="171"/>
      <c r="AH198" s="171"/>
      <c r="AI198" s="221">
        <f>IF(AI181&lt;AI187,IF(AG184="Nee",0,AI188*AI196),0)</f>
        <v>0</v>
      </c>
      <c r="AJ198" s="80" t="s">
        <v>86</v>
      </c>
    </row>
    <row r="199" spans="2:36" x14ac:dyDescent="0.2">
      <c r="E199" s="28"/>
      <c r="H199" s="207" t="s">
        <v>120</v>
      </c>
      <c r="I199" s="171"/>
      <c r="J199" s="171"/>
      <c r="K199" s="259">
        <f>IF(K181&lt;K187,IF(I184="Nee",0,K188-K198),0)</f>
        <v>0</v>
      </c>
      <c r="L199" s="80" t="s">
        <v>86</v>
      </c>
      <c r="N199" s="207" t="s">
        <v>120</v>
      </c>
      <c r="O199" s="171"/>
      <c r="P199" s="171"/>
      <c r="Q199" s="221">
        <f>IF(Q181&lt;Q187,IF(O184="Nee",0,Q188-Q198),0)</f>
        <v>0</v>
      </c>
      <c r="R199" s="80" t="s">
        <v>86</v>
      </c>
      <c r="T199" s="207" t="s">
        <v>120</v>
      </c>
      <c r="U199" s="171"/>
      <c r="V199" s="171"/>
      <c r="W199" s="221">
        <f>IF(W181&lt;W187,IF(U184="Nee",0,W188-W198),0)</f>
        <v>0</v>
      </c>
      <c r="X199" s="80" t="s">
        <v>86</v>
      </c>
      <c r="Z199" s="207" t="s">
        <v>120</v>
      </c>
      <c r="AA199" s="171"/>
      <c r="AB199" s="171"/>
      <c r="AC199" s="221">
        <f>IF(AC181&lt;AC187,IF(AA184="Nee",0,AC188-AC198),0)</f>
        <v>17.010309278350519</v>
      </c>
      <c r="AD199" s="80" t="s">
        <v>86</v>
      </c>
      <c r="AF199" s="207" t="s">
        <v>120</v>
      </c>
      <c r="AG199" s="171"/>
      <c r="AH199" s="171"/>
      <c r="AI199" s="221">
        <f>IF(AI181&lt;AI187,IF(AG184="Nee",0,AI188-AI198),0)</f>
        <v>0</v>
      </c>
      <c r="AJ199" s="80" t="s">
        <v>86</v>
      </c>
    </row>
    <row r="200" spans="2:36" ht="17" thickBot="1" x14ac:dyDescent="0.25">
      <c r="H200" s="79"/>
      <c r="I200" s="171"/>
      <c r="J200" s="171"/>
      <c r="K200" s="171"/>
      <c r="L200" s="80"/>
      <c r="N200" s="79"/>
      <c r="O200" s="171"/>
      <c r="P200" s="171"/>
      <c r="Q200" s="171"/>
      <c r="R200" s="80"/>
      <c r="T200" s="79"/>
      <c r="U200" s="171"/>
      <c r="V200" s="171"/>
      <c r="W200" s="171"/>
      <c r="X200" s="80"/>
      <c r="Z200" s="79"/>
      <c r="AA200" s="171"/>
      <c r="AB200" s="171"/>
      <c r="AC200" s="171"/>
      <c r="AD200" s="80"/>
      <c r="AF200" s="79"/>
      <c r="AG200" s="171"/>
      <c r="AH200" s="171"/>
      <c r="AI200" s="171"/>
      <c r="AJ200" s="80"/>
    </row>
    <row r="201" spans="2:36" ht="18" thickTop="1" thickBot="1" x14ac:dyDescent="0.25">
      <c r="H201" s="205" t="s">
        <v>172</v>
      </c>
      <c r="I201" s="69" t="s">
        <v>167</v>
      </c>
      <c r="J201" s="171"/>
      <c r="K201" s="171"/>
      <c r="L201" s="80"/>
      <c r="N201" s="205" t="s">
        <v>172</v>
      </c>
      <c r="O201" s="69" t="s">
        <v>167</v>
      </c>
      <c r="P201" s="171"/>
      <c r="Q201" s="171"/>
      <c r="R201" s="80"/>
      <c r="T201" s="205" t="s">
        <v>172</v>
      </c>
      <c r="U201" s="69" t="s">
        <v>167</v>
      </c>
      <c r="V201" s="171"/>
      <c r="W201" s="171"/>
      <c r="X201" s="80"/>
      <c r="Z201" s="205" t="s">
        <v>172</v>
      </c>
      <c r="AA201" s="69" t="s">
        <v>167</v>
      </c>
      <c r="AB201" s="171"/>
      <c r="AC201" s="171"/>
      <c r="AD201" s="80"/>
      <c r="AF201" s="205" t="s">
        <v>172</v>
      </c>
      <c r="AG201" s="69" t="s">
        <v>167</v>
      </c>
      <c r="AH201" s="171"/>
      <c r="AI201" s="171"/>
      <c r="AJ201" s="80"/>
    </row>
    <row r="202" spans="2:36" ht="17" thickTop="1" x14ac:dyDescent="0.2">
      <c r="H202" s="201" t="s">
        <v>173</v>
      </c>
      <c r="I202" s="171"/>
      <c r="J202" s="171"/>
      <c r="K202" s="219">
        <f>IF(K198&gt;0,IF(I184='DATA - Variabelen &amp; waarden'!$B$326,K198,K182),K182)</f>
        <v>122.22222222222221</v>
      </c>
      <c r="L202" s="80" t="s">
        <v>86</v>
      </c>
      <c r="N202" s="201" t="s">
        <v>173</v>
      </c>
      <c r="O202" s="171"/>
      <c r="P202" s="171"/>
      <c r="Q202" s="219">
        <f>IF(Q198&gt;0,IF(O184='DATA - Variabelen &amp; waarden'!$B$326,Q198,Q182),Q182)</f>
        <v>15.306122448979592</v>
      </c>
      <c r="R202" s="80" t="s">
        <v>86</v>
      </c>
      <c r="T202" s="201" t="s">
        <v>173</v>
      </c>
      <c r="U202" s="171"/>
      <c r="V202" s="171"/>
      <c r="W202" s="219">
        <f>IF(W198&gt;0,IF(U184='DATA - Variabelen &amp; waarden'!$B$326,W198,W182),W182)</f>
        <v>122.22222222222221</v>
      </c>
      <c r="X202" s="80" t="s">
        <v>86</v>
      </c>
      <c r="Z202" s="201" t="s">
        <v>173</v>
      </c>
      <c r="AA202" s="171"/>
      <c r="AB202" s="171"/>
      <c r="AC202" s="219">
        <f>IF(AC198&gt;0,IF(AA184='DATA - Variabelen &amp; waarden'!$B$326,AC198,AC182),AC182)</f>
        <v>96.391752577319593</v>
      </c>
      <c r="AD202" s="80" t="s">
        <v>86</v>
      </c>
      <c r="AF202" s="201" t="s">
        <v>173</v>
      </c>
      <c r="AG202" s="171"/>
      <c r="AH202" s="171"/>
      <c r="AI202" s="219">
        <f>IF(AI198&gt;0,IF(AG184='DATA - Variabelen &amp; waarden'!$B$326,AI198,AI182),AI182)</f>
        <v>116.66666666666666</v>
      </c>
      <c r="AJ202" s="80" t="s">
        <v>86</v>
      </c>
    </row>
    <row r="203" spans="2:36" x14ac:dyDescent="0.2">
      <c r="H203" s="260" t="s">
        <v>95</v>
      </c>
      <c r="I203" s="90" t="s">
        <v>25</v>
      </c>
      <c r="J203" s="92" t="s">
        <v>26</v>
      </c>
      <c r="K203" s="171"/>
      <c r="L203" s="80"/>
      <c r="N203" s="260" t="s">
        <v>95</v>
      </c>
      <c r="O203" s="90" t="s">
        <v>25</v>
      </c>
      <c r="P203" s="92" t="s">
        <v>26</v>
      </c>
      <c r="Q203" s="171"/>
      <c r="R203" s="80"/>
      <c r="T203" s="260" t="s">
        <v>95</v>
      </c>
      <c r="U203" s="90" t="s">
        <v>25</v>
      </c>
      <c r="V203" s="92" t="s">
        <v>26</v>
      </c>
      <c r="W203" s="171"/>
      <c r="X203" s="80"/>
      <c r="Z203" s="260" t="s">
        <v>95</v>
      </c>
      <c r="AA203" s="90" t="s">
        <v>25</v>
      </c>
      <c r="AB203" s="92" t="s">
        <v>26</v>
      </c>
      <c r="AC203" s="171"/>
      <c r="AD203" s="80"/>
      <c r="AF203" s="260" t="s">
        <v>95</v>
      </c>
      <c r="AG203" s="90" t="s">
        <v>25</v>
      </c>
      <c r="AH203" s="92" t="s">
        <v>26</v>
      </c>
      <c r="AI203" s="171"/>
      <c r="AJ203" s="80"/>
    </row>
    <row r="204" spans="2:36" ht="17" thickBot="1" x14ac:dyDescent="0.25">
      <c r="H204" s="187" t="s">
        <v>174</v>
      </c>
      <c r="I204" s="171"/>
      <c r="J204" s="62">
        <v>85</v>
      </c>
      <c r="K204" s="104">
        <f>J204</f>
        <v>85</v>
      </c>
      <c r="L204" s="185" t="s">
        <v>97</v>
      </c>
      <c r="N204" s="187" t="s">
        <v>174</v>
      </c>
      <c r="O204" s="171"/>
      <c r="P204" s="62">
        <v>85</v>
      </c>
      <c r="Q204" s="104">
        <f>P204</f>
        <v>85</v>
      </c>
      <c r="R204" s="185" t="s">
        <v>97</v>
      </c>
      <c r="T204" s="187" t="s">
        <v>174</v>
      </c>
      <c r="U204" s="171"/>
      <c r="V204" s="62">
        <v>85</v>
      </c>
      <c r="W204" s="104">
        <f>V204</f>
        <v>85</v>
      </c>
      <c r="X204" s="185" t="s">
        <v>97</v>
      </c>
      <c r="Z204" s="187" t="s">
        <v>174</v>
      </c>
      <c r="AA204" s="171"/>
      <c r="AB204" s="62">
        <v>85</v>
      </c>
      <c r="AC204" s="104">
        <f>AB204</f>
        <v>85</v>
      </c>
      <c r="AD204" s="185" t="s">
        <v>97</v>
      </c>
      <c r="AF204" s="187" t="s">
        <v>174</v>
      </c>
      <c r="AG204" s="171"/>
      <c r="AH204" s="62">
        <v>85</v>
      </c>
      <c r="AI204" s="104">
        <f>AH204</f>
        <v>85</v>
      </c>
      <c r="AJ204" s="185" t="s">
        <v>97</v>
      </c>
    </row>
    <row r="205" spans="2:36" ht="18" thickTop="1" thickBot="1" x14ac:dyDescent="0.25">
      <c r="H205" s="237" t="s">
        <v>99</v>
      </c>
      <c r="I205" s="69" t="s">
        <v>52</v>
      </c>
      <c r="J205" s="62"/>
      <c r="K205" s="236" cm="1">
        <f t="array" ref="K205">IF(ISBLANK(J205),INDEX(ProcesCost01[[#All],[Geen]:[Waarde MIN]],_xlfn.XMATCH('SCENARIO 3 - Slechtste geval'!H205,ProcesCost01[[#All],[Transportkosten]]),_xlfn.XMATCH('SCENARIO 3 - Slechtste geval'!I205,ProcesCost01[[#Headers],[Geen]:[Waarde MIN]])),J205)</f>
        <v>0.05</v>
      </c>
      <c r="L205" s="185" t="s">
        <v>100</v>
      </c>
      <c r="N205" s="237" t="s">
        <v>99</v>
      </c>
      <c r="O205" s="69" t="s">
        <v>52</v>
      </c>
      <c r="P205" s="62"/>
      <c r="Q205" s="236" cm="1">
        <f t="array" ref="Q205">IF(ISBLANK(P205),INDEX(ProcesCost01[[#All],[Geen]:[Waarde MIN]],_xlfn.XMATCH('SCENARIO 3 - Slechtste geval'!N205,ProcesCost01[[#All],[Transportkosten]]),_xlfn.XMATCH('SCENARIO 3 - Slechtste geval'!O205,ProcesCost01[[#Headers],[Geen]:[Waarde MIN]])),P205)</f>
        <v>0.05</v>
      </c>
      <c r="R205" s="185" t="s">
        <v>100</v>
      </c>
      <c r="T205" s="237" t="s">
        <v>99</v>
      </c>
      <c r="U205" s="69" t="s">
        <v>52</v>
      </c>
      <c r="V205" s="62"/>
      <c r="W205" s="236" cm="1">
        <f t="array" ref="W205">IF(ISBLANK(V205),INDEX(ProcesCost01[[#All],[Geen]:[Waarde MIN]],_xlfn.XMATCH('SCENARIO 3 - Slechtste geval'!T205,ProcesCost01[[#All],[Transportkosten]]),_xlfn.XMATCH('SCENARIO 3 - Slechtste geval'!U205,ProcesCost01[[#Headers],[Geen]:[Waarde MIN]])),V205)</f>
        <v>0.05</v>
      </c>
      <c r="X205" s="185" t="s">
        <v>100</v>
      </c>
      <c r="Z205" s="237" t="s">
        <v>99</v>
      </c>
      <c r="AA205" s="69" t="s">
        <v>52</v>
      </c>
      <c r="AB205" s="62"/>
      <c r="AC205" s="236" cm="1">
        <f t="array" ref="AC205">IF(ISBLANK(AB205),INDEX(ProcesCost01[[#All],[Geen]:[Waarde MIN]],_xlfn.XMATCH('SCENARIO 3 - Slechtste geval'!Z205,ProcesCost01[[#All],[Transportkosten]]),_xlfn.XMATCH('SCENARIO 3 - Slechtste geval'!AA205,ProcesCost01[[#Headers],[Geen]:[Waarde MIN]])),AB205)</f>
        <v>0.05</v>
      </c>
      <c r="AD205" s="185" t="s">
        <v>100</v>
      </c>
      <c r="AF205" s="237" t="s">
        <v>99</v>
      </c>
      <c r="AG205" s="69" t="s">
        <v>52</v>
      </c>
      <c r="AH205" s="62"/>
      <c r="AI205" s="236" cm="1">
        <f t="array" ref="AI205">IF(ISBLANK(AH205),INDEX(ProcesCost01[[#All],[Geen]:[Waarde MIN]],_xlfn.XMATCH('SCENARIO 3 - Slechtste geval'!AF205,ProcesCost01[[#All],[Transportkosten]]),_xlfn.XMATCH('SCENARIO 3 - Slechtste geval'!AG205,ProcesCost01[[#Headers],[Geen]:[Waarde MIN]])),AH205)</f>
        <v>0.05</v>
      </c>
      <c r="AJ205" s="185" t="s">
        <v>100</v>
      </c>
    </row>
    <row r="206" spans="2:36" ht="17" thickTop="1" x14ac:dyDescent="0.2">
      <c r="H206" s="207" t="s">
        <v>175</v>
      </c>
      <c r="I206" s="171"/>
      <c r="J206" s="62"/>
      <c r="K206" s="192">
        <f>IF(I201="Nee",0,IF(ISBLANK(J206),K204*K205*K202,J206))</f>
        <v>519.44444444444446</v>
      </c>
      <c r="L206" s="80" t="s">
        <v>102</v>
      </c>
      <c r="N206" s="207" t="s">
        <v>175</v>
      </c>
      <c r="O206" s="171"/>
      <c r="P206" s="62"/>
      <c r="Q206" s="192">
        <f>IF(O201="Nee",0,IF(ISBLANK(P206),Q204*Q205*Q202,P206))</f>
        <v>65.051020408163268</v>
      </c>
      <c r="R206" s="80" t="s">
        <v>102</v>
      </c>
      <c r="T206" s="207" t="s">
        <v>175</v>
      </c>
      <c r="U206" s="171"/>
      <c r="V206" s="62"/>
      <c r="W206" s="192">
        <f>IF(U201="Nee",0,IF(ISBLANK(V206),W204*W205*W202,V206))</f>
        <v>519.44444444444446</v>
      </c>
      <c r="X206" s="80" t="s">
        <v>102</v>
      </c>
      <c r="Z206" s="207" t="s">
        <v>175</v>
      </c>
      <c r="AA206" s="171"/>
      <c r="AB206" s="62"/>
      <c r="AC206" s="192">
        <f>IF(AA201="Nee",0,IF(ISBLANK(AB206),AC204*AC205*AC202,AB206))</f>
        <v>409.66494845360825</v>
      </c>
      <c r="AD206" s="80" t="s">
        <v>102</v>
      </c>
      <c r="AF206" s="207" t="s">
        <v>175</v>
      </c>
      <c r="AG206" s="171"/>
      <c r="AH206" s="62"/>
      <c r="AI206" s="192">
        <f>IF(AG201="Nee",0,IF(ISBLANK(AH206),AI204*AI205*AI202,AH206))</f>
        <v>495.83333333333331</v>
      </c>
      <c r="AJ206" s="80" t="s">
        <v>102</v>
      </c>
    </row>
    <row r="207" spans="2:36" ht="17" thickBot="1" x14ac:dyDescent="0.25">
      <c r="H207" s="260" t="s">
        <v>176</v>
      </c>
      <c r="I207" s="90" t="s">
        <v>25</v>
      </c>
      <c r="J207" s="92" t="s">
        <v>26</v>
      </c>
      <c r="K207" s="171"/>
      <c r="L207" s="80"/>
      <c r="N207" s="260" t="s">
        <v>176</v>
      </c>
      <c r="O207" s="90" t="s">
        <v>25</v>
      </c>
      <c r="P207" s="92" t="s">
        <v>26</v>
      </c>
      <c r="Q207" s="171"/>
      <c r="R207" s="80"/>
      <c r="T207" s="260" t="s">
        <v>176</v>
      </c>
      <c r="U207" s="90" t="s">
        <v>25</v>
      </c>
      <c r="V207" s="92" t="s">
        <v>26</v>
      </c>
      <c r="W207" s="171"/>
      <c r="X207" s="80"/>
      <c r="Z207" s="260" t="s">
        <v>176</v>
      </c>
      <c r="AA207" s="90" t="s">
        <v>25</v>
      </c>
      <c r="AB207" s="92" t="s">
        <v>26</v>
      </c>
      <c r="AC207" s="171"/>
      <c r="AD207" s="80"/>
      <c r="AF207" s="260" t="s">
        <v>176</v>
      </c>
      <c r="AG207" s="90" t="s">
        <v>25</v>
      </c>
      <c r="AH207" s="92" t="s">
        <v>26</v>
      </c>
      <c r="AI207" s="171"/>
      <c r="AJ207" s="80"/>
    </row>
    <row r="208" spans="2:36" ht="18" thickTop="1" thickBot="1" x14ac:dyDescent="0.25">
      <c r="H208" s="237" t="s">
        <v>177</v>
      </c>
      <c r="I208" s="69" t="s">
        <v>52</v>
      </c>
      <c r="J208" s="77"/>
      <c r="K208" s="236" cm="1">
        <f t="array" ref="K208">IF(I201="Nee",0,IF(ISBLANK(J208),INDEX(ProcesCost2[[#All],[Geen]:[Waarde MIN]],_xlfn.XMATCH('SCENARIO 3 - Slechtste geval'!H208,ProcesCost2[[#All],[Verwerking - Kosten]]),_xlfn.XMATCH('SCENARIO 3 - Slechtste geval'!I208,ProcesCost2[[#Headers],[Geen]:[Waarde MIN]])),J208))</f>
        <v>10</v>
      </c>
      <c r="L208" s="185" t="s">
        <v>178</v>
      </c>
      <c r="N208" s="237" t="s">
        <v>537</v>
      </c>
      <c r="O208" s="69" t="s">
        <v>52</v>
      </c>
      <c r="P208" s="77"/>
      <c r="Q208" s="236" cm="1">
        <f t="array" ref="Q208">IF(O201="Nee",0,IF(ISBLANK(P208),INDEX(ProcesCost2[[#All],[Geen]:[Waarde MIN]],_xlfn.XMATCH('SCENARIO 3 - Slechtste geval'!N208,ProcesCost2[[#All],[Verwerking - Kosten]]),_xlfn.XMATCH('SCENARIO 3 - Slechtste geval'!O208,ProcesCost2[[#Headers],[Geen]:[Waarde MIN]])),P208))</f>
        <v>25</v>
      </c>
      <c r="R208" s="185" t="s">
        <v>178</v>
      </c>
      <c r="T208" s="237" t="s">
        <v>821</v>
      </c>
      <c r="U208" s="69" t="s">
        <v>52</v>
      </c>
      <c r="V208" s="77"/>
      <c r="W208" s="236" cm="1">
        <f t="array" ref="W208">IF(U201="Nee",0,IF(ISBLANK(V208),INDEX(ProcesCost2[[#All],[Geen]:[Waarde MIN]],_xlfn.XMATCH('SCENARIO 3 - Slechtste geval'!T208,ProcesCost2[[#All],[Verwerking - Kosten]]),_xlfn.XMATCH('SCENARIO 3 - Slechtste geval'!U208,ProcesCost2[[#Headers],[Geen]:[Waarde MIN]])),V208))</f>
        <v>10</v>
      </c>
      <c r="X208" s="185" t="s">
        <v>178</v>
      </c>
      <c r="Z208" s="237" t="s">
        <v>177</v>
      </c>
      <c r="AA208" s="69" t="s">
        <v>52</v>
      </c>
      <c r="AB208" s="77"/>
      <c r="AC208" s="236" cm="1">
        <f t="array" ref="AC208">IF(AA201="Nee",0,IF(ISBLANK(AB208),INDEX(ProcesCost2[[#All],[Geen]:[Waarde MIN]],_xlfn.XMATCH('SCENARIO 3 - Slechtste geval'!Z208,ProcesCost2[[#All],[Verwerking - Kosten]]),_xlfn.XMATCH('SCENARIO 3 - Slechtste geval'!AA208,ProcesCost2[[#Headers],[Geen]:[Waarde MIN]])),AB208))</f>
        <v>10</v>
      </c>
      <c r="AD208" s="185" t="s">
        <v>178</v>
      </c>
      <c r="AF208" s="237" t="s">
        <v>177</v>
      </c>
      <c r="AG208" s="69" t="s">
        <v>52</v>
      </c>
      <c r="AH208" s="77"/>
      <c r="AI208" s="236" cm="1">
        <f t="array" ref="AI208">IF(AG201="Nee",0,IF(ISBLANK(AH208),INDEX(ProcesCost2[[#All],[Geen]:[Waarde MIN]],_xlfn.XMATCH('SCENARIO 3 - Slechtste geval'!AF208,ProcesCost2[[#All],[Verwerking - Kosten]]),_xlfn.XMATCH('SCENARIO 3 - Slechtste geval'!AG208,ProcesCost2[[#Headers],[Geen]:[Waarde MIN]])),AH208))</f>
        <v>10</v>
      </c>
      <c r="AJ208" s="185" t="s">
        <v>178</v>
      </c>
    </row>
    <row r="209" spans="8:36" ht="18" thickTop="1" thickBot="1" x14ac:dyDescent="0.25">
      <c r="H209" s="206" t="s">
        <v>179</v>
      </c>
      <c r="I209" s="69" t="s">
        <v>51</v>
      </c>
      <c r="J209" s="76"/>
      <c r="K209" s="241" cm="1">
        <f t="array" ref="K209">INDEX(ProcesCost21[[#All],[Geen]:[Waarde MIN]],_xlfn.XMATCH('SCENARIO 3 - Slechtste geval'!H208,ProcesCost21[[#All],[Verwerking - Producteffciency]]),_xlfn.XMATCH('SCENARIO 3 - Slechtste geval'!I209,ProcesCost21[[#Headers],[Geen]:[Waarde MIN]]))</f>
        <v>0.9</v>
      </c>
      <c r="L209" s="185" t="s">
        <v>58</v>
      </c>
      <c r="N209" s="206" t="s">
        <v>179</v>
      </c>
      <c r="O209" s="69" t="s">
        <v>51</v>
      </c>
      <c r="P209" s="76"/>
      <c r="Q209" s="241" cm="1">
        <f t="array" ref="Q209">INDEX(ProcesCost21[[#All],[Geen]:[Waarde MIN]],_xlfn.XMATCH('SCENARIO 3 - Slechtste geval'!N208,ProcesCost21[[#All],[Verwerking - Producteffciency]]),_xlfn.XMATCH('SCENARIO 3 - Slechtste geval'!O209,ProcesCost21[[#Headers],[Geen]:[Waarde MIN]]))</f>
        <v>0.9</v>
      </c>
      <c r="R209" s="185" t="s">
        <v>58</v>
      </c>
      <c r="T209" s="206" t="s">
        <v>179</v>
      </c>
      <c r="U209" s="69" t="s">
        <v>51</v>
      </c>
      <c r="V209" s="76"/>
      <c r="W209" s="241" cm="1">
        <f t="array" ref="W209">INDEX(ProcesCost21[[#All],[Geen]:[Waarde MIN]],_xlfn.XMATCH('SCENARIO 3 - Slechtste geval'!T208,ProcesCost21[[#All],[Verwerking - Producteffciency]]),_xlfn.XMATCH('SCENARIO 3 - Slechtste geval'!U209,ProcesCost21[[#Headers],[Geen]:[Waarde MIN]]))</f>
        <v>0.9</v>
      </c>
      <c r="X209" s="185" t="s">
        <v>58</v>
      </c>
      <c r="Z209" s="206" t="s">
        <v>179</v>
      </c>
      <c r="AA209" s="69" t="s">
        <v>51</v>
      </c>
      <c r="AB209" s="76"/>
      <c r="AC209" s="241" cm="1">
        <f t="array" ref="AC209">INDEX(ProcesCost21[[#All],[Geen]:[Waarde MIN]],_xlfn.XMATCH('SCENARIO 3 - Slechtste geval'!Z208,ProcesCost21[[#All],[Verwerking - Producteffciency]]),_xlfn.XMATCH('SCENARIO 3 - Slechtste geval'!AA209,ProcesCost21[[#Headers],[Geen]:[Waarde MIN]]))</f>
        <v>0.9</v>
      </c>
      <c r="AD209" s="185" t="s">
        <v>58</v>
      </c>
      <c r="AF209" s="206" t="s">
        <v>179</v>
      </c>
      <c r="AG209" s="69" t="s">
        <v>51</v>
      </c>
      <c r="AH209" s="76"/>
      <c r="AI209" s="241" cm="1">
        <f t="array" ref="AI209">INDEX(ProcesCost21[[#All],[Geen]:[Waarde MIN]],_xlfn.XMATCH('SCENARIO 3 - Slechtste geval'!AF208,ProcesCost21[[#All],[Verwerking - Producteffciency]]),_xlfn.XMATCH('SCENARIO 3 - Slechtste geval'!AG209,ProcesCost21[[#Headers],[Geen]:[Waarde MIN]]))</f>
        <v>0.9</v>
      </c>
      <c r="AJ209" s="185" t="s">
        <v>58</v>
      </c>
    </row>
    <row r="210" spans="8:36" ht="17" thickTop="1" x14ac:dyDescent="0.2">
      <c r="H210" s="207" t="s">
        <v>180</v>
      </c>
      <c r="I210" s="171"/>
      <c r="J210" s="264"/>
      <c r="K210" s="174">
        <f>IFERROR(IF(ISBLANK(J210),K202*K208,J210),0)</f>
        <v>1222.2222222222222</v>
      </c>
      <c r="L210" s="80" t="s">
        <v>102</v>
      </c>
      <c r="N210" s="207" t="s">
        <v>180</v>
      </c>
      <c r="O210" s="171"/>
      <c r="P210" s="264"/>
      <c r="Q210" s="174">
        <f>IFERROR(IF(ISBLANK(P210),Q202*Q208,P210),0)</f>
        <v>382.65306122448976</v>
      </c>
      <c r="R210" s="80" t="s">
        <v>102</v>
      </c>
      <c r="T210" s="207" t="s">
        <v>180</v>
      </c>
      <c r="U210" s="171"/>
      <c r="V210" s="264"/>
      <c r="W210" s="174">
        <f>IFERROR(IF(ISBLANK(V210),W202*W208,V210),0)</f>
        <v>1222.2222222222222</v>
      </c>
      <c r="X210" s="80" t="s">
        <v>102</v>
      </c>
      <c r="Z210" s="207" t="s">
        <v>180</v>
      </c>
      <c r="AA210" s="171"/>
      <c r="AB210" s="264"/>
      <c r="AC210" s="174">
        <f>IFERROR(IF(ISBLANK(AB210),AC202*AC208,AB210),0)</f>
        <v>963.91752577319596</v>
      </c>
      <c r="AD210" s="80" t="s">
        <v>102</v>
      </c>
      <c r="AF210" s="207" t="s">
        <v>180</v>
      </c>
      <c r="AG210" s="171"/>
      <c r="AH210" s="264"/>
      <c r="AI210" s="174">
        <f>IFERROR(IF(ISBLANK(AH210),AI202*AI208,AH210),0)</f>
        <v>1166.6666666666665</v>
      </c>
      <c r="AJ210" s="80" t="s">
        <v>102</v>
      </c>
    </row>
    <row r="211" spans="8:36" x14ac:dyDescent="0.2">
      <c r="H211" s="207" t="s">
        <v>181</v>
      </c>
      <c r="I211" s="171"/>
      <c r="J211" s="171"/>
      <c r="K211" s="259">
        <f>IF(I201="Nee",0,K202*K209)</f>
        <v>110</v>
      </c>
      <c r="L211" s="80" t="s">
        <v>86</v>
      </c>
      <c r="N211" s="207" t="s">
        <v>181</v>
      </c>
      <c r="O211" s="171"/>
      <c r="P211" s="171"/>
      <c r="Q211" s="259">
        <f>IF(O201="Nee",0,Q202*Q209)</f>
        <v>13.775510204081632</v>
      </c>
      <c r="R211" s="80" t="s">
        <v>86</v>
      </c>
      <c r="T211" s="207" t="s">
        <v>181</v>
      </c>
      <c r="U211" s="171"/>
      <c r="V211" s="171"/>
      <c r="W211" s="259">
        <f>IF(U201="Nee",0,W202*W209)</f>
        <v>110</v>
      </c>
      <c r="X211" s="80" t="s">
        <v>86</v>
      </c>
      <c r="Z211" s="207" t="s">
        <v>181</v>
      </c>
      <c r="AA211" s="171"/>
      <c r="AB211" s="171"/>
      <c r="AC211" s="259">
        <f>IF(AA201="Nee",0,AC202*AC209)</f>
        <v>86.75257731958763</v>
      </c>
      <c r="AD211" s="80" t="s">
        <v>86</v>
      </c>
      <c r="AF211" s="207" t="s">
        <v>181</v>
      </c>
      <c r="AG211" s="171"/>
      <c r="AH211" s="171"/>
      <c r="AI211" s="259">
        <f>IF(AG201="Nee",0,AI202*AI209)</f>
        <v>105</v>
      </c>
      <c r="AJ211" s="80" t="s">
        <v>86</v>
      </c>
    </row>
    <row r="212" spans="8:36" x14ac:dyDescent="0.2">
      <c r="H212" s="207" t="s">
        <v>120</v>
      </c>
      <c r="I212" s="171"/>
      <c r="J212" s="171"/>
      <c r="K212" s="259">
        <f>IF(I201="Nee",0,K202-K211)</f>
        <v>12.222222222222214</v>
      </c>
      <c r="L212" s="80" t="s">
        <v>86</v>
      </c>
      <c r="N212" s="207" t="s">
        <v>120</v>
      </c>
      <c r="O212" s="171"/>
      <c r="P212" s="171"/>
      <c r="Q212" s="259">
        <f>IF(O201="Nee",0,Q202-Q211)</f>
        <v>1.5306122448979593</v>
      </c>
      <c r="R212" s="80" t="s">
        <v>86</v>
      </c>
      <c r="T212" s="207" t="s">
        <v>120</v>
      </c>
      <c r="U212" s="171"/>
      <c r="V212" s="171"/>
      <c r="W212" s="259">
        <f>IF(U201="Nee",0,W202-W211)</f>
        <v>12.222222222222214</v>
      </c>
      <c r="X212" s="80" t="s">
        <v>86</v>
      </c>
      <c r="Z212" s="207" t="s">
        <v>120</v>
      </c>
      <c r="AA212" s="171"/>
      <c r="AB212" s="171"/>
      <c r="AC212" s="259">
        <f>IF(AA201="Nee",0,AC202-AC211)</f>
        <v>9.6391752577319636</v>
      </c>
      <c r="AD212" s="80" t="s">
        <v>86</v>
      </c>
      <c r="AF212" s="207" t="s">
        <v>120</v>
      </c>
      <c r="AG212" s="171"/>
      <c r="AH212" s="171"/>
      <c r="AI212" s="259">
        <f>IF(AG201="Nee",0,AI202-AI211)</f>
        <v>11.666666666666657</v>
      </c>
      <c r="AJ212" s="80" t="s">
        <v>86</v>
      </c>
    </row>
    <row r="213" spans="8:36" ht="17" thickBot="1" x14ac:dyDescent="0.25">
      <c r="H213" s="79"/>
      <c r="I213" s="171"/>
      <c r="J213" s="171"/>
      <c r="K213" s="171"/>
      <c r="L213" s="80"/>
      <c r="N213" s="79"/>
      <c r="O213" s="171"/>
      <c r="P213" s="171"/>
      <c r="Q213" s="171"/>
      <c r="R213" s="80"/>
      <c r="T213" s="79"/>
      <c r="U213" s="171"/>
      <c r="V213" s="171"/>
      <c r="W213" s="171"/>
      <c r="X213" s="80"/>
      <c r="Z213" s="79"/>
      <c r="AA213" s="171"/>
      <c r="AB213" s="171"/>
      <c r="AC213" s="171"/>
      <c r="AD213" s="80"/>
      <c r="AF213" s="79"/>
      <c r="AG213" s="171"/>
      <c r="AH213" s="171"/>
      <c r="AI213" s="171"/>
      <c r="AJ213" s="80"/>
    </row>
    <row r="214" spans="8:36" ht="18" thickTop="1" thickBot="1" x14ac:dyDescent="0.25">
      <c r="H214" s="205" t="s">
        <v>182</v>
      </c>
      <c r="I214" s="69" t="s">
        <v>76</v>
      </c>
      <c r="J214" s="171"/>
      <c r="K214" s="171"/>
      <c r="L214" s="80"/>
      <c r="N214" s="205" t="s">
        <v>182</v>
      </c>
      <c r="O214" s="69" t="s">
        <v>76</v>
      </c>
      <c r="P214" s="171"/>
      <c r="Q214" s="171"/>
      <c r="R214" s="80"/>
      <c r="T214" s="205" t="s">
        <v>182</v>
      </c>
      <c r="U214" s="69" t="s">
        <v>76</v>
      </c>
      <c r="V214" s="171"/>
      <c r="W214" s="171"/>
      <c r="X214" s="80"/>
      <c r="Z214" s="205" t="s">
        <v>182</v>
      </c>
      <c r="AA214" s="69" t="s">
        <v>167</v>
      </c>
      <c r="AB214" s="171"/>
      <c r="AC214" s="171"/>
      <c r="AD214" s="80"/>
      <c r="AF214" s="205" t="s">
        <v>182</v>
      </c>
      <c r="AG214" s="69" t="s">
        <v>167</v>
      </c>
      <c r="AH214" s="171"/>
      <c r="AI214" s="171"/>
      <c r="AJ214" s="80"/>
    </row>
    <row r="215" spans="8:36" ht="17" thickTop="1" x14ac:dyDescent="0.2">
      <c r="H215" s="201" t="s">
        <v>173</v>
      </c>
      <c r="I215" s="171"/>
      <c r="J215" s="171"/>
      <c r="K215" s="219">
        <f>K211</f>
        <v>110</v>
      </c>
      <c r="L215" s="80" t="s">
        <v>86</v>
      </c>
      <c r="N215" s="201" t="s">
        <v>173</v>
      </c>
      <c r="O215" s="171"/>
      <c r="P215" s="171"/>
      <c r="Q215" s="219">
        <f>Q211</f>
        <v>13.775510204081632</v>
      </c>
      <c r="R215" s="80" t="s">
        <v>86</v>
      </c>
      <c r="T215" s="201" t="s">
        <v>173</v>
      </c>
      <c r="U215" s="171"/>
      <c r="V215" s="171"/>
      <c r="W215" s="219">
        <f>W211</f>
        <v>110</v>
      </c>
      <c r="X215" s="80" t="s">
        <v>86</v>
      </c>
      <c r="Z215" s="201" t="s">
        <v>173</v>
      </c>
      <c r="AA215" s="171"/>
      <c r="AB215" s="171"/>
      <c r="AC215" s="219">
        <f>AC211</f>
        <v>86.75257731958763</v>
      </c>
      <c r="AD215" s="80" t="s">
        <v>86</v>
      </c>
      <c r="AF215" s="201" t="s">
        <v>173</v>
      </c>
      <c r="AG215" s="171"/>
      <c r="AH215" s="171"/>
      <c r="AI215" s="219">
        <f>AI211</f>
        <v>105</v>
      </c>
      <c r="AJ215" s="80" t="s">
        <v>86</v>
      </c>
    </row>
    <row r="216" spans="8:36" x14ac:dyDescent="0.2">
      <c r="H216" s="260" t="s">
        <v>95</v>
      </c>
      <c r="I216" s="90" t="s">
        <v>25</v>
      </c>
      <c r="J216" s="92" t="s">
        <v>26</v>
      </c>
      <c r="K216" s="171"/>
      <c r="L216" s="80"/>
      <c r="N216" s="260" t="s">
        <v>95</v>
      </c>
      <c r="O216" s="90" t="s">
        <v>25</v>
      </c>
      <c r="P216" s="92" t="s">
        <v>26</v>
      </c>
      <c r="Q216" s="171"/>
      <c r="R216" s="80"/>
      <c r="T216" s="260" t="s">
        <v>95</v>
      </c>
      <c r="U216" s="90" t="s">
        <v>25</v>
      </c>
      <c r="V216" s="92" t="s">
        <v>26</v>
      </c>
      <c r="W216" s="171"/>
      <c r="X216" s="80"/>
      <c r="Z216" s="260" t="s">
        <v>95</v>
      </c>
      <c r="AA216" s="90" t="s">
        <v>25</v>
      </c>
      <c r="AB216" s="92" t="s">
        <v>26</v>
      </c>
      <c r="AC216" s="171"/>
      <c r="AD216" s="80"/>
      <c r="AF216" s="260" t="s">
        <v>95</v>
      </c>
      <c r="AG216" s="90" t="s">
        <v>25</v>
      </c>
      <c r="AH216" s="92" t="s">
        <v>26</v>
      </c>
      <c r="AI216" s="171"/>
      <c r="AJ216" s="80"/>
    </row>
    <row r="217" spans="8:36" ht="17" thickBot="1" x14ac:dyDescent="0.25">
      <c r="H217" s="187" t="s">
        <v>174</v>
      </c>
      <c r="I217" s="171"/>
      <c r="J217" s="62">
        <v>85</v>
      </c>
      <c r="K217" s="104">
        <f>J217</f>
        <v>85</v>
      </c>
      <c r="L217" s="185" t="s">
        <v>97</v>
      </c>
      <c r="N217" s="187" t="s">
        <v>174</v>
      </c>
      <c r="O217" s="171"/>
      <c r="P217" s="62">
        <v>85</v>
      </c>
      <c r="Q217" s="104">
        <f>P217</f>
        <v>85</v>
      </c>
      <c r="R217" s="185" t="s">
        <v>97</v>
      </c>
      <c r="T217" s="187" t="s">
        <v>174</v>
      </c>
      <c r="U217" s="171"/>
      <c r="V217" s="62">
        <v>85</v>
      </c>
      <c r="W217" s="104">
        <f>V217</f>
        <v>85</v>
      </c>
      <c r="X217" s="185" t="s">
        <v>97</v>
      </c>
      <c r="Z217" s="187" t="s">
        <v>174</v>
      </c>
      <c r="AA217" s="171"/>
      <c r="AB217" s="62">
        <v>0</v>
      </c>
      <c r="AC217" s="104">
        <f>AB217</f>
        <v>0</v>
      </c>
      <c r="AD217" s="185" t="s">
        <v>97</v>
      </c>
      <c r="AF217" s="187" t="s">
        <v>174</v>
      </c>
      <c r="AG217" s="171"/>
      <c r="AH217" s="62">
        <v>0</v>
      </c>
      <c r="AI217" s="104">
        <f>AH217</f>
        <v>0</v>
      </c>
      <c r="AJ217" s="185" t="s">
        <v>97</v>
      </c>
    </row>
    <row r="218" spans="8:36" ht="18" thickTop="1" thickBot="1" x14ac:dyDescent="0.25">
      <c r="H218" s="237" t="s">
        <v>99</v>
      </c>
      <c r="I218" s="69" t="s">
        <v>52</v>
      </c>
      <c r="J218" s="62"/>
      <c r="K218" s="236" cm="1">
        <f t="array" ref="K218">IF(ISBLANK(J218),INDEX(ProcesCost01[[#All],[Geen]:[Waarde MIN]],_xlfn.XMATCH('SCENARIO 3 - Slechtste geval'!H218,ProcesCost01[[#All],[Transportkosten]]),_xlfn.XMATCH('SCENARIO 3 - Slechtste geval'!I218,ProcesCost01[[#Headers],[Geen]:[Waarde MIN]])),J218)</f>
        <v>0.05</v>
      </c>
      <c r="L218" s="185" t="s">
        <v>100</v>
      </c>
      <c r="N218" s="237" t="s">
        <v>99</v>
      </c>
      <c r="O218" s="69" t="s">
        <v>52</v>
      </c>
      <c r="P218" s="62"/>
      <c r="Q218" s="236" cm="1">
        <f t="array" ref="Q218">IF(ISBLANK(P218),INDEX(ProcesCost01[[#All],[Geen]:[Waarde MIN]],_xlfn.XMATCH('SCENARIO 3 - Slechtste geval'!N218,ProcesCost01[[#All],[Transportkosten]]),_xlfn.XMATCH('SCENARIO 3 - Slechtste geval'!O218,ProcesCost01[[#Headers],[Geen]:[Waarde MIN]])),P218)</f>
        <v>0.05</v>
      </c>
      <c r="R218" s="185" t="s">
        <v>100</v>
      </c>
      <c r="T218" s="237" t="s">
        <v>99</v>
      </c>
      <c r="U218" s="69" t="s">
        <v>52</v>
      </c>
      <c r="V218" s="62"/>
      <c r="W218" s="236" cm="1">
        <f t="array" ref="W218">IF(ISBLANK(V218),INDEX(ProcesCost01[[#All],[Geen]:[Waarde MIN]],_xlfn.XMATCH('SCENARIO 3 - Slechtste geval'!T218,ProcesCost01[[#All],[Transportkosten]]),_xlfn.XMATCH('SCENARIO 3 - Slechtste geval'!U218,ProcesCost01[[#Headers],[Geen]:[Waarde MIN]])),V218)</f>
        <v>0.05</v>
      </c>
      <c r="X218" s="185" t="s">
        <v>100</v>
      </c>
      <c r="Z218" s="237" t="s">
        <v>99</v>
      </c>
      <c r="AA218" s="69" t="s">
        <v>52</v>
      </c>
      <c r="AB218" s="62"/>
      <c r="AC218" s="236" cm="1">
        <f t="array" ref="AC218">IF(ISBLANK(AB218),INDEX(ProcesCost01[[#All],[Geen]:[Waarde MIN]],_xlfn.XMATCH('SCENARIO 3 - Slechtste geval'!Z218,ProcesCost01[[#All],[Transportkosten]]),_xlfn.XMATCH('SCENARIO 3 - Slechtste geval'!AA218,ProcesCost01[[#Headers],[Geen]:[Waarde MIN]])),AB218)</f>
        <v>0.05</v>
      </c>
      <c r="AD218" s="185" t="s">
        <v>100</v>
      </c>
      <c r="AF218" s="237" t="s">
        <v>99</v>
      </c>
      <c r="AG218" s="69" t="s">
        <v>52</v>
      </c>
      <c r="AH218" s="62"/>
      <c r="AI218" s="236" cm="1">
        <f t="array" ref="AI218">IF(ISBLANK(AH218),INDEX(ProcesCost01[[#All],[Geen]:[Waarde MIN]],_xlfn.XMATCH('SCENARIO 3 - Slechtste geval'!AF218,ProcesCost01[[#All],[Transportkosten]]),_xlfn.XMATCH('SCENARIO 3 - Slechtste geval'!AG218,ProcesCost01[[#Headers],[Geen]:[Waarde MIN]])),AH218)</f>
        <v>0.05</v>
      </c>
      <c r="AJ218" s="185" t="s">
        <v>100</v>
      </c>
    </row>
    <row r="219" spans="8:36" ht="17" thickTop="1" x14ac:dyDescent="0.2">
      <c r="H219" s="207" t="s">
        <v>175</v>
      </c>
      <c r="I219" s="171"/>
      <c r="J219" s="62"/>
      <c r="K219" s="192">
        <f>IF(I214="Nee",0,IF(ISBLANK(J219),K217*K218*K215,J219))</f>
        <v>0</v>
      </c>
      <c r="L219" s="80" t="s">
        <v>102</v>
      </c>
      <c r="N219" s="207" t="s">
        <v>175</v>
      </c>
      <c r="O219" s="171"/>
      <c r="P219" s="62"/>
      <c r="Q219" s="192">
        <f>IF(O214="Nee",0,IF(ISBLANK(P219),Q217*Q218*Q215,P219))</f>
        <v>0</v>
      </c>
      <c r="R219" s="80" t="s">
        <v>102</v>
      </c>
      <c r="T219" s="207" t="s">
        <v>175</v>
      </c>
      <c r="U219" s="171"/>
      <c r="V219" s="62"/>
      <c r="W219" s="192">
        <f>IF(U214="Nee",0,IF(ISBLANK(V219),W217*W218*W215,V219))</f>
        <v>0</v>
      </c>
      <c r="X219" s="80" t="s">
        <v>102</v>
      </c>
      <c r="Z219" s="187" t="s">
        <v>175</v>
      </c>
      <c r="AA219" s="171"/>
      <c r="AB219" s="62"/>
      <c r="AC219" s="192">
        <f>IF(AA214="Nee",0,IF(ISBLANK(AB219),AC217*AC218*AC215,AB219))</f>
        <v>0</v>
      </c>
      <c r="AD219" s="80" t="s">
        <v>102</v>
      </c>
      <c r="AF219" s="207" t="s">
        <v>175</v>
      </c>
      <c r="AG219" s="171"/>
      <c r="AH219" s="62"/>
      <c r="AI219" s="192">
        <f>IF(AG214="Nee",0,IF(ISBLANK(AH219),AI217*AI218*AI215,AH219))</f>
        <v>0</v>
      </c>
      <c r="AJ219" s="80" t="s">
        <v>102</v>
      </c>
    </row>
    <row r="220" spans="8:36" ht="17" thickBot="1" x14ac:dyDescent="0.25">
      <c r="H220" s="260" t="s">
        <v>176</v>
      </c>
      <c r="I220" s="90" t="s">
        <v>25</v>
      </c>
      <c r="J220" s="92" t="s">
        <v>26</v>
      </c>
      <c r="K220" s="171"/>
      <c r="L220" s="80"/>
      <c r="N220" s="260" t="s">
        <v>176</v>
      </c>
      <c r="O220" s="90" t="s">
        <v>25</v>
      </c>
      <c r="P220" s="92" t="s">
        <v>26</v>
      </c>
      <c r="Q220" s="171"/>
      <c r="R220" s="80"/>
      <c r="T220" s="260" t="s">
        <v>176</v>
      </c>
      <c r="U220" s="90" t="s">
        <v>25</v>
      </c>
      <c r="V220" s="92" t="s">
        <v>26</v>
      </c>
      <c r="W220" s="171"/>
      <c r="X220" s="80"/>
      <c r="Z220" s="260" t="s">
        <v>176</v>
      </c>
      <c r="AA220" s="90" t="s">
        <v>25</v>
      </c>
      <c r="AB220" s="92" t="s">
        <v>26</v>
      </c>
      <c r="AC220" s="171"/>
      <c r="AD220" s="80"/>
      <c r="AF220" s="260" t="s">
        <v>176</v>
      </c>
      <c r="AG220" s="90" t="s">
        <v>25</v>
      </c>
      <c r="AH220" s="92" t="s">
        <v>26</v>
      </c>
      <c r="AI220" s="171"/>
      <c r="AJ220" s="80"/>
    </row>
    <row r="221" spans="8:36" ht="18" thickTop="1" thickBot="1" x14ac:dyDescent="0.25">
      <c r="H221" s="237" t="s">
        <v>184</v>
      </c>
      <c r="I221" s="69" t="s">
        <v>52</v>
      </c>
      <c r="J221" s="77"/>
      <c r="K221" s="236" cm="1">
        <f t="array" ref="K221">IF(I214="Nee",0,IF(ISBLANK(J221),INDEX(ProcesCost2[[#All],[Geen]:[Waarde MIN]],_xlfn.XMATCH('SCENARIO 3 - Slechtste geval'!H221,ProcesCost2[[#All],[Verwerking - Kosten]]),_xlfn.XMATCH('SCENARIO 3 - Slechtste geval'!I221,ProcesCost2[[#Headers],[Geen]:[Waarde MIN]])),J221))</f>
        <v>0</v>
      </c>
      <c r="L221" s="185" t="s">
        <v>178</v>
      </c>
      <c r="N221" s="237" t="s">
        <v>184</v>
      </c>
      <c r="O221" s="69" t="s">
        <v>52</v>
      </c>
      <c r="P221" s="77"/>
      <c r="Q221" s="236" cm="1">
        <f t="array" ref="Q221">IF(O214="Nee",0,IF(ISBLANK(P221),INDEX(ProcesCost2[[#All],[Geen]:[Waarde MIN]],_xlfn.XMATCH('SCENARIO 3 - Slechtste geval'!N221,ProcesCost2[[#All],[Verwerking - Kosten]]),_xlfn.XMATCH('SCENARIO 3 - Slechtste geval'!O221,ProcesCost2[[#Headers],[Geen]:[Waarde MIN]])),P221))</f>
        <v>0</v>
      </c>
      <c r="R221" s="185" t="s">
        <v>178</v>
      </c>
      <c r="T221" s="237" t="s">
        <v>537</v>
      </c>
      <c r="U221" s="69" t="s">
        <v>52</v>
      </c>
      <c r="V221" s="77"/>
      <c r="W221" s="236" cm="1">
        <f t="array" ref="W221">IF(U214="Nee",0,IF(ISBLANK(V221),INDEX(ProcesCost2[[#All],[Geen]:[Waarde MIN]],_xlfn.XMATCH('SCENARIO 3 - Slechtste geval'!T221,ProcesCost2[[#All],[Verwerking - Kosten]]),_xlfn.XMATCH('SCENARIO 3 - Slechtste geval'!U221,ProcesCost2[[#Headers],[Geen]:[Waarde MIN]])),V221))</f>
        <v>0</v>
      </c>
      <c r="X221" s="185" t="s">
        <v>178</v>
      </c>
      <c r="Z221" s="237" t="s">
        <v>184</v>
      </c>
      <c r="AA221" s="69" t="s">
        <v>52</v>
      </c>
      <c r="AB221" s="77"/>
      <c r="AC221" s="236" cm="1">
        <f t="array" ref="AC221">IF(AA214="Nee",0,IF(ISBLANK(AB221),INDEX(ProcesCost2[[#All],[Geen]:[Waarde MIN]],_xlfn.XMATCH('SCENARIO 3 - Slechtste geval'!Z221,ProcesCost2[[#All],[Verwerking - Kosten]]),_xlfn.XMATCH('SCENARIO 3 - Slechtste geval'!AA221,ProcesCost2[[#Headers],[Geen]:[Waarde MIN]])),AB221))</f>
        <v>10</v>
      </c>
      <c r="AD221" s="185" t="s">
        <v>178</v>
      </c>
      <c r="AF221" s="237" t="s">
        <v>184</v>
      </c>
      <c r="AG221" s="69" t="s">
        <v>52</v>
      </c>
      <c r="AH221" s="77"/>
      <c r="AI221" s="236" cm="1">
        <f t="array" ref="AI221">IF(AG214="Nee",0,IF(ISBLANK(AH221),INDEX(ProcesCost2[[#All],[Geen]:[Waarde MIN]],_xlfn.XMATCH('SCENARIO 3 - Slechtste geval'!AF221,ProcesCost2[[#All],[Verwerking - Kosten]]),_xlfn.XMATCH('SCENARIO 3 - Slechtste geval'!AG221,ProcesCost2[[#Headers],[Geen]:[Waarde MIN]])),AH221))</f>
        <v>10</v>
      </c>
      <c r="AJ221" s="185" t="s">
        <v>178</v>
      </c>
    </row>
    <row r="222" spans="8:36" ht="18" thickTop="1" thickBot="1" x14ac:dyDescent="0.25">
      <c r="H222" s="206" t="s">
        <v>179</v>
      </c>
      <c r="I222" s="69" t="s">
        <v>51</v>
      </c>
      <c r="J222" s="76"/>
      <c r="K222" s="241" cm="1">
        <f t="array" ref="K222">INDEX(ProcesCost21[[#All],[Geen]:[Waarde MIN]],_xlfn.XMATCH('SCENARIO 3 - Slechtste geval'!H221,ProcesCost21[[#All],[Verwerking - Producteffciency]]),_xlfn.XMATCH('SCENARIO 3 - Slechtste geval'!I222,ProcesCost21[[#Headers],[Geen]:[Waarde MIN]]))</f>
        <v>0.9</v>
      </c>
      <c r="L222" s="185" t="s">
        <v>58</v>
      </c>
      <c r="N222" s="206" t="s">
        <v>179</v>
      </c>
      <c r="O222" s="69" t="s">
        <v>51</v>
      </c>
      <c r="P222" s="76"/>
      <c r="Q222" s="241" cm="1">
        <f t="array" ref="Q222">INDEX(ProcesCost21[[#All],[Geen]:[Waarde MIN]],_xlfn.XMATCH('SCENARIO 3 - Slechtste geval'!N221,ProcesCost21[[#All],[Verwerking - Producteffciency]]),_xlfn.XMATCH('SCENARIO 3 - Slechtste geval'!O222,ProcesCost21[[#Headers],[Geen]:[Waarde MIN]]))</f>
        <v>0.9</v>
      </c>
      <c r="R222" s="185" t="s">
        <v>58</v>
      </c>
      <c r="T222" s="206" t="s">
        <v>179</v>
      </c>
      <c r="U222" s="69" t="s">
        <v>51</v>
      </c>
      <c r="V222" s="76"/>
      <c r="W222" s="241" cm="1">
        <f t="array" ref="W222">INDEX(ProcesCost21[[#All],[Geen]:[Waarde MIN]],_xlfn.XMATCH('SCENARIO 3 - Slechtste geval'!T221,ProcesCost21[[#All],[Verwerking - Producteffciency]]),_xlfn.XMATCH('SCENARIO 3 - Slechtste geval'!U222,ProcesCost21[[#Headers],[Geen]:[Waarde MIN]]))</f>
        <v>0.9</v>
      </c>
      <c r="X222" s="185" t="s">
        <v>58</v>
      </c>
      <c r="Z222" s="206" t="s">
        <v>179</v>
      </c>
      <c r="AA222" s="69" t="s">
        <v>51</v>
      </c>
      <c r="AB222" s="76"/>
      <c r="AC222" s="241" cm="1">
        <f t="array" ref="AC222">INDEX(ProcesCost21[[#All],[Geen]:[Waarde MIN]],_xlfn.XMATCH('SCENARIO 3 - Slechtste geval'!Z221,ProcesCost21[[#All],[Verwerking - Producteffciency]]),_xlfn.XMATCH('SCENARIO 3 - Slechtste geval'!AA222,ProcesCost21[[#Headers],[Geen]:[Waarde MIN]]))</f>
        <v>0.9</v>
      </c>
      <c r="AD222" s="185" t="s">
        <v>58</v>
      </c>
      <c r="AF222" s="206" t="s">
        <v>179</v>
      </c>
      <c r="AG222" s="69" t="s">
        <v>51</v>
      </c>
      <c r="AH222" s="76"/>
      <c r="AI222" s="241" cm="1">
        <f t="array" ref="AI222">INDEX(ProcesCost21[[#All],[Geen]:[Waarde MIN]],_xlfn.XMATCH('SCENARIO 3 - Slechtste geval'!AF221,ProcesCost21[[#All],[Verwerking - Producteffciency]]),_xlfn.XMATCH('SCENARIO 3 - Slechtste geval'!AG222,ProcesCost21[[#Headers],[Geen]:[Waarde MIN]]))</f>
        <v>0.9</v>
      </c>
      <c r="AJ222" s="185" t="s">
        <v>58</v>
      </c>
    </row>
    <row r="223" spans="8:36" ht="17" thickTop="1" x14ac:dyDescent="0.2">
      <c r="H223" s="207" t="s">
        <v>180</v>
      </c>
      <c r="I223" s="171"/>
      <c r="J223" s="264"/>
      <c r="K223" s="174">
        <f>IFERROR(IF(ISBLANK(J223),K215*K221,J223),0)</f>
        <v>0</v>
      </c>
      <c r="L223" s="80" t="s">
        <v>102</v>
      </c>
      <c r="N223" s="207" t="s">
        <v>180</v>
      </c>
      <c r="O223" s="171"/>
      <c r="P223" s="264"/>
      <c r="Q223" s="174">
        <f>IFERROR(IF(ISBLANK(P223),Q215*Q221,P223),0)</f>
        <v>0</v>
      </c>
      <c r="R223" s="80" t="s">
        <v>102</v>
      </c>
      <c r="T223" s="207" t="s">
        <v>180</v>
      </c>
      <c r="U223" s="171"/>
      <c r="V223" s="264"/>
      <c r="W223" s="174">
        <f>IFERROR(IF(ISBLANK(V223),W215*W221,V223),0)</f>
        <v>0</v>
      </c>
      <c r="X223" s="80" t="s">
        <v>102</v>
      </c>
      <c r="Z223" s="207" t="s">
        <v>180</v>
      </c>
      <c r="AA223" s="171"/>
      <c r="AB223" s="264"/>
      <c r="AC223" s="174">
        <f>IFERROR(IF(ISBLANK(AB223),AC215*AC221,AB223),0)</f>
        <v>867.52577319587635</v>
      </c>
      <c r="AD223" s="80" t="s">
        <v>102</v>
      </c>
      <c r="AF223" s="207" t="s">
        <v>180</v>
      </c>
      <c r="AG223" s="171"/>
      <c r="AH223" s="264"/>
      <c r="AI223" s="174">
        <f>IFERROR(IF(ISBLANK(AH223),AI215*AI221,AH223),0)</f>
        <v>1050</v>
      </c>
      <c r="AJ223" s="80" t="s">
        <v>102</v>
      </c>
    </row>
    <row r="224" spans="8:36" x14ac:dyDescent="0.2">
      <c r="H224" s="207" t="s">
        <v>181</v>
      </c>
      <c r="I224" s="171"/>
      <c r="J224" s="171"/>
      <c r="K224" s="259">
        <f>IF(I214="Nee",0,K215*K222)</f>
        <v>0</v>
      </c>
      <c r="L224" s="80" t="s">
        <v>86</v>
      </c>
      <c r="N224" s="207" t="s">
        <v>181</v>
      </c>
      <c r="O224" s="171"/>
      <c r="P224" s="171"/>
      <c r="Q224" s="259">
        <f>IF(O214="Nee",0,Q215*Q222)</f>
        <v>0</v>
      </c>
      <c r="R224" s="80" t="s">
        <v>86</v>
      </c>
      <c r="T224" s="207" t="s">
        <v>181</v>
      </c>
      <c r="U224" s="171"/>
      <c r="V224" s="171"/>
      <c r="W224" s="259">
        <f>IF(U214="Nee",0,W215*W222)</f>
        <v>0</v>
      </c>
      <c r="X224" s="80" t="s">
        <v>86</v>
      </c>
      <c r="Z224" s="207" t="s">
        <v>181</v>
      </c>
      <c r="AA224" s="171"/>
      <c r="AB224" s="171"/>
      <c r="AC224" s="259">
        <f>IF(AA214="Nee",0,AC215*AC222)</f>
        <v>78.077319587628864</v>
      </c>
      <c r="AD224" s="80" t="s">
        <v>86</v>
      </c>
      <c r="AF224" s="207" t="s">
        <v>181</v>
      </c>
      <c r="AG224" s="171"/>
      <c r="AH224" s="171"/>
      <c r="AI224" s="259">
        <f>IF(AG214="Nee",0,AI215*AI222)</f>
        <v>94.5</v>
      </c>
      <c r="AJ224" s="80" t="s">
        <v>86</v>
      </c>
    </row>
    <row r="225" spans="2:36" x14ac:dyDescent="0.2">
      <c r="H225" s="207" t="s">
        <v>120</v>
      </c>
      <c r="I225" s="171"/>
      <c r="J225" s="171"/>
      <c r="K225" s="259">
        <f>IF(I214="Nee",0,K215-K224)</f>
        <v>0</v>
      </c>
      <c r="L225" s="80" t="s">
        <v>86</v>
      </c>
      <c r="N225" s="207" t="s">
        <v>120</v>
      </c>
      <c r="O225" s="171"/>
      <c r="P225" s="171"/>
      <c r="Q225" s="259">
        <f>IF(O214="Nee",0,Q215-Q224)</f>
        <v>0</v>
      </c>
      <c r="R225" s="80" t="s">
        <v>86</v>
      </c>
      <c r="T225" s="207" t="s">
        <v>120</v>
      </c>
      <c r="U225" s="171"/>
      <c r="V225" s="171"/>
      <c r="W225" s="259">
        <f>IF(U214="Nee",0,W215-W224)</f>
        <v>0</v>
      </c>
      <c r="X225" s="80" t="s">
        <v>86</v>
      </c>
      <c r="Z225" s="207" t="s">
        <v>120</v>
      </c>
      <c r="AA225" s="171"/>
      <c r="AB225" s="171"/>
      <c r="AC225" s="259">
        <f>IF(AA214="Nee",0,AC215-AC224)</f>
        <v>8.6752577319587658</v>
      </c>
      <c r="AD225" s="80" t="s">
        <v>86</v>
      </c>
      <c r="AF225" s="207" t="s">
        <v>120</v>
      </c>
      <c r="AG225" s="171"/>
      <c r="AH225" s="171"/>
      <c r="AI225" s="259">
        <f>IF(AG214="Nee",0,AI215-AI224)</f>
        <v>10.5</v>
      </c>
      <c r="AJ225" s="80" t="s">
        <v>86</v>
      </c>
    </row>
    <row r="226" spans="2:36" x14ac:dyDescent="0.2">
      <c r="H226" s="79"/>
      <c r="I226" s="171"/>
      <c r="J226" s="171"/>
      <c r="K226" s="171"/>
      <c r="L226" s="80"/>
      <c r="N226" s="79"/>
      <c r="O226" s="171"/>
      <c r="P226" s="171"/>
      <c r="Q226" s="171"/>
      <c r="R226" s="80"/>
      <c r="T226" s="79"/>
      <c r="U226" s="171"/>
      <c r="V226" s="171"/>
      <c r="W226" s="171"/>
      <c r="X226" s="80"/>
      <c r="Z226" s="79"/>
      <c r="AA226" s="171"/>
      <c r="AB226" s="171"/>
      <c r="AC226" s="171"/>
      <c r="AD226" s="80"/>
      <c r="AF226" s="79"/>
      <c r="AG226" s="171"/>
      <c r="AH226" s="171"/>
      <c r="AI226" s="171"/>
      <c r="AJ226" s="80"/>
    </row>
    <row r="227" spans="2:36" x14ac:dyDescent="0.2">
      <c r="H227" s="109" t="s">
        <v>185</v>
      </c>
      <c r="I227" s="171"/>
      <c r="J227" s="171"/>
      <c r="K227" s="171"/>
      <c r="L227" s="80"/>
      <c r="N227" s="109" t="s">
        <v>185</v>
      </c>
      <c r="O227" s="171"/>
      <c r="P227" s="171"/>
      <c r="Q227" s="171"/>
      <c r="R227" s="80"/>
      <c r="T227" s="109" t="s">
        <v>185</v>
      </c>
      <c r="U227" s="171"/>
      <c r="V227" s="171"/>
      <c r="W227" s="171"/>
      <c r="X227" s="80"/>
      <c r="Z227" s="109" t="s">
        <v>185</v>
      </c>
      <c r="AA227" s="171"/>
      <c r="AB227" s="171"/>
      <c r="AC227" s="171"/>
      <c r="AD227" s="80"/>
      <c r="AF227" s="109" t="s">
        <v>185</v>
      </c>
      <c r="AG227" s="171"/>
      <c r="AH227" s="171"/>
      <c r="AI227" s="171"/>
      <c r="AJ227" s="80"/>
    </row>
    <row r="228" spans="2:36" x14ac:dyDescent="0.2">
      <c r="H228" s="207" t="s">
        <v>186</v>
      </c>
      <c r="I228" s="265"/>
      <c r="J228" s="266"/>
      <c r="K228" s="219">
        <f>IF(I214="Ja",K224,IF(I201="Ja",K211,IF(I184="Ja",K198,K182)))</f>
        <v>110</v>
      </c>
      <c r="L228" s="80" t="s">
        <v>86</v>
      </c>
      <c r="N228" s="207" t="s">
        <v>186</v>
      </c>
      <c r="O228" s="267"/>
      <c r="P228" s="267"/>
      <c r="Q228" s="219">
        <f>IF(O214="Ja",Q224,IF(O201="Ja",Q211,IF(O184="Ja",Q198,Q182)))</f>
        <v>13.775510204081632</v>
      </c>
      <c r="R228" s="80" t="s">
        <v>86</v>
      </c>
      <c r="T228" s="207" t="s">
        <v>186</v>
      </c>
      <c r="U228" s="267"/>
      <c r="V228" s="267"/>
      <c r="W228" s="219">
        <f>IF(U214="Ja",W224,IF(U201="Ja",W211,IF(U184="Ja",W198,W182)))</f>
        <v>110</v>
      </c>
      <c r="X228" s="80" t="s">
        <v>86</v>
      </c>
      <c r="Z228" s="207" t="s">
        <v>186</v>
      </c>
      <c r="AA228" s="267"/>
      <c r="AB228" s="267"/>
      <c r="AC228" s="219">
        <f>IF(AA214="Ja",AC224,IF(AA201="Ja",AC211,IF(AA184="Ja",AC198,AC182)))</f>
        <v>78.077319587628864</v>
      </c>
      <c r="AD228" s="80" t="s">
        <v>86</v>
      </c>
      <c r="AF228" s="207" t="s">
        <v>186</v>
      </c>
      <c r="AG228" s="267"/>
      <c r="AH228" s="267"/>
      <c r="AI228" s="219">
        <f>IF(AG214="Ja",AI224,IF(AG201="Ja",AI211,IF(AG184="Ja",AI198,AI182)))</f>
        <v>94.5</v>
      </c>
      <c r="AJ228" s="80" t="s">
        <v>86</v>
      </c>
    </row>
    <row r="229" spans="2:36" x14ac:dyDescent="0.2">
      <c r="H229" s="260" t="s">
        <v>187</v>
      </c>
      <c r="I229" s="90" t="s">
        <v>25</v>
      </c>
      <c r="J229" s="92" t="s">
        <v>26</v>
      </c>
      <c r="K229" s="219"/>
      <c r="L229" s="80"/>
      <c r="N229" s="260" t="s">
        <v>187</v>
      </c>
      <c r="O229" s="90" t="s">
        <v>25</v>
      </c>
      <c r="P229" s="92" t="s">
        <v>26</v>
      </c>
      <c r="Q229" s="219"/>
      <c r="R229" s="80"/>
      <c r="T229" s="260" t="s">
        <v>187</v>
      </c>
      <c r="U229" s="90" t="s">
        <v>25</v>
      </c>
      <c r="V229" s="92" t="s">
        <v>26</v>
      </c>
      <c r="W229" s="219"/>
      <c r="X229" s="80"/>
      <c r="Z229" s="260" t="s">
        <v>187</v>
      </c>
      <c r="AA229" s="90" t="s">
        <v>25</v>
      </c>
      <c r="AB229" s="92" t="s">
        <v>26</v>
      </c>
      <c r="AC229" s="219"/>
      <c r="AD229" s="80"/>
      <c r="AF229" s="260" t="s">
        <v>187</v>
      </c>
      <c r="AG229" s="90" t="s">
        <v>25</v>
      </c>
      <c r="AH229" s="92" t="s">
        <v>26</v>
      </c>
      <c r="AI229" s="219"/>
      <c r="AJ229" s="80"/>
    </row>
    <row r="230" spans="2:36" ht="17" thickBot="1" x14ac:dyDescent="0.25">
      <c r="H230" s="187" t="s">
        <v>188</v>
      </c>
      <c r="I230" s="171"/>
      <c r="J230" s="62">
        <v>85</v>
      </c>
      <c r="K230" s="104">
        <f>J230</f>
        <v>85</v>
      </c>
      <c r="L230" s="185" t="s">
        <v>97</v>
      </c>
      <c r="N230" s="187" t="s">
        <v>188</v>
      </c>
      <c r="O230" s="171"/>
      <c r="P230" s="62">
        <v>85</v>
      </c>
      <c r="Q230" s="104">
        <f>P230</f>
        <v>85</v>
      </c>
      <c r="R230" s="185" t="s">
        <v>97</v>
      </c>
      <c r="T230" s="187" t="s">
        <v>188</v>
      </c>
      <c r="U230" s="171"/>
      <c r="V230" s="62">
        <v>85</v>
      </c>
      <c r="W230" s="104">
        <f>V230</f>
        <v>85</v>
      </c>
      <c r="X230" s="185" t="s">
        <v>97</v>
      </c>
      <c r="Z230" s="187" t="s">
        <v>188</v>
      </c>
      <c r="AA230" s="171"/>
      <c r="AB230" s="62">
        <v>85</v>
      </c>
      <c r="AC230" s="104">
        <f>AB230</f>
        <v>85</v>
      </c>
      <c r="AD230" s="185" t="s">
        <v>97</v>
      </c>
      <c r="AF230" s="187" t="s">
        <v>188</v>
      </c>
      <c r="AG230" s="171"/>
      <c r="AH230" s="62">
        <v>85</v>
      </c>
      <c r="AI230" s="104">
        <f>AH230</f>
        <v>85</v>
      </c>
      <c r="AJ230" s="185" t="s">
        <v>97</v>
      </c>
    </row>
    <row r="231" spans="2:36" ht="18" thickTop="1" thickBot="1" x14ac:dyDescent="0.25">
      <c r="H231" s="237" t="s">
        <v>99</v>
      </c>
      <c r="I231" s="69" t="s">
        <v>52</v>
      </c>
      <c r="J231" s="62"/>
      <c r="K231" s="236" cm="1">
        <f t="array" ref="K231">IF(ISBLANK(J231),INDEX(ProcesCost01[[#All],[Geen]:[Waarde MIN]],_xlfn.XMATCH('SCENARIO 3 - Slechtste geval'!H231,ProcesCost01[[#All],[Transportkosten]]),_xlfn.XMATCH('SCENARIO 3 - Slechtste geval'!I231,ProcesCost01[[#Headers],[Geen]:[Waarde MIN]])),J231)</f>
        <v>0.05</v>
      </c>
      <c r="L231" s="185" t="s">
        <v>100</v>
      </c>
      <c r="N231" s="237" t="s">
        <v>99</v>
      </c>
      <c r="O231" s="69" t="s">
        <v>52</v>
      </c>
      <c r="P231" s="62"/>
      <c r="Q231" s="236" cm="1">
        <f t="array" ref="Q231">IF(ISBLANK(P231),INDEX(ProcesCost01[[#All],[Geen]:[Waarde MIN]],_xlfn.XMATCH('SCENARIO 3 - Slechtste geval'!N231,ProcesCost01[[#All],[Transportkosten]]),_xlfn.XMATCH('SCENARIO 3 - Slechtste geval'!O231,ProcesCost01[[#Headers],[Geen]:[Waarde MIN]])),P231)</f>
        <v>0.05</v>
      </c>
      <c r="R231" s="185" t="s">
        <v>100</v>
      </c>
      <c r="T231" s="237" t="s">
        <v>99</v>
      </c>
      <c r="U231" s="69" t="s">
        <v>52</v>
      </c>
      <c r="V231" s="62"/>
      <c r="W231" s="236" cm="1">
        <f t="array" ref="W231">IF(ISBLANK(V231),INDEX(ProcesCost01[[#All],[Geen]:[Waarde MIN]],_xlfn.XMATCH('SCENARIO 3 - Slechtste geval'!T231,ProcesCost01[[#All],[Transportkosten]]),_xlfn.XMATCH('SCENARIO 3 - Slechtste geval'!U231,ProcesCost01[[#Headers],[Geen]:[Waarde MIN]])),V231)</f>
        <v>0.05</v>
      </c>
      <c r="X231" s="185" t="s">
        <v>100</v>
      </c>
      <c r="Z231" s="237" t="s">
        <v>99</v>
      </c>
      <c r="AA231" s="69" t="s">
        <v>52</v>
      </c>
      <c r="AB231" s="62"/>
      <c r="AC231" s="236" cm="1">
        <f t="array" ref="AC231">IF(ISBLANK(AB231),INDEX(ProcesCost01[[#All],[Geen]:[Waarde MIN]],_xlfn.XMATCH('SCENARIO 3 - Slechtste geval'!Z231,ProcesCost01[[#All],[Transportkosten]]),_xlfn.XMATCH('SCENARIO 3 - Slechtste geval'!AA231,ProcesCost01[[#Headers],[Geen]:[Waarde MIN]])),AB231)</f>
        <v>0.05</v>
      </c>
      <c r="AD231" s="185" t="s">
        <v>100</v>
      </c>
      <c r="AF231" s="237" t="s">
        <v>99</v>
      </c>
      <c r="AG231" s="69" t="s">
        <v>52</v>
      </c>
      <c r="AH231" s="62"/>
      <c r="AI231" s="236" cm="1">
        <f t="array" ref="AI231">IF(ISBLANK(AH231),INDEX(ProcesCost01[[#All],[Geen]:[Waarde MIN]],_xlfn.XMATCH('SCENARIO 3 - Slechtste geval'!AF231,ProcesCost01[[#All],[Transportkosten]]),_xlfn.XMATCH('SCENARIO 3 - Slechtste geval'!AG231,ProcesCost01[[#Headers],[Geen]:[Waarde MIN]])),AH231)</f>
        <v>0.05</v>
      </c>
      <c r="AJ231" s="185" t="s">
        <v>100</v>
      </c>
    </row>
    <row r="232" spans="2:36" ht="17" thickTop="1" x14ac:dyDescent="0.2">
      <c r="H232" s="207" t="s">
        <v>189</v>
      </c>
      <c r="I232" s="171"/>
      <c r="J232" s="62"/>
      <c r="K232" s="192">
        <f>IF(ISBLANK(J232),K230*K231*K228,J232)</f>
        <v>467.5</v>
      </c>
      <c r="L232" s="80" t="s">
        <v>102</v>
      </c>
      <c r="N232" s="207" t="s">
        <v>189</v>
      </c>
      <c r="O232" s="171"/>
      <c r="P232" s="62"/>
      <c r="Q232" s="192">
        <f>IF(ISBLANK(P232),Q230*Q231*Q228,P232)</f>
        <v>58.545918367346935</v>
      </c>
      <c r="R232" s="80" t="s">
        <v>102</v>
      </c>
      <c r="T232" s="207" t="s">
        <v>189</v>
      </c>
      <c r="U232" s="171"/>
      <c r="V232" s="62"/>
      <c r="W232" s="192">
        <f>IF(ISBLANK(V232),W230*W231*W228,V232)</f>
        <v>467.5</v>
      </c>
      <c r="X232" s="80" t="s">
        <v>102</v>
      </c>
      <c r="Z232" s="207" t="s">
        <v>189</v>
      </c>
      <c r="AA232" s="171"/>
      <c r="AB232" s="62"/>
      <c r="AC232" s="192">
        <f>IF(ISBLANK(AB232),AC230*AC231*AC228,AB232)</f>
        <v>331.82860824742266</v>
      </c>
      <c r="AD232" s="80" t="s">
        <v>102</v>
      </c>
      <c r="AF232" s="231" t="s">
        <v>189</v>
      </c>
      <c r="AG232" s="171"/>
      <c r="AH232" s="62"/>
      <c r="AI232" s="192">
        <f>IF(ISBLANK(AH232),AI230*AI231*AI228,AH232)</f>
        <v>401.625</v>
      </c>
      <c r="AJ232" s="80" t="s">
        <v>102</v>
      </c>
    </row>
    <row r="233" spans="2:36" x14ac:dyDescent="0.2">
      <c r="H233" s="81"/>
      <c r="I233" s="172"/>
      <c r="J233" s="172"/>
      <c r="K233" s="172"/>
      <c r="L233" s="82"/>
      <c r="N233" s="81"/>
      <c r="O233" s="172"/>
      <c r="P233" s="172"/>
      <c r="Q233" s="172"/>
      <c r="R233" s="82"/>
      <c r="T233" s="81"/>
      <c r="U233" s="172"/>
      <c r="V233" s="172"/>
      <c r="W233" s="172"/>
      <c r="X233" s="82"/>
      <c r="Z233" s="81"/>
      <c r="AA233" s="172"/>
      <c r="AB233" s="172"/>
      <c r="AC233" s="172"/>
      <c r="AD233" s="82"/>
      <c r="AF233" s="81"/>
      <c r="AG233" s="172"/>
      <c r="AH233" s="172"/>
      <c r="AI233" s="172"/>
      <c r="AJ233" s="82"/>
    </row>
    <row r="235" spans="2:36" s="106" customFormat="1" ht="17" x14ac:dyDescent="0.2">
      <c r="B235" s="105" t="s">
        <v>190</v>
      </c>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row>
    <row r="236" spans="2:36" x14ac:dyDescent="0.2">
      <c r="E236" s="3"/>
    </row>
    <row r="237" spans="2:36" x14ac:dyDescent="0.2">
      <c r="B237" s="87" t="s">
        <v>191</v>
      </c>
      <c r="C237" s="91"/>
      <c r="D237" s="173"/>
      <c r="E237" s="126"/>
      <c r="F237" s="85"/>
      <c r="H237" s="345" t="s">
        <v>192</v>
      </c>
      <c r="I237" s="346"/>
      <c r="J237" s="347"/>
      <c r="K237" s="348"/>
      <c r="L237" s="349"/>
      <c r="N237" s="87" t="s">
        <v>707</v>
      </c>
      <c r="O237" s="91"/>
      <c r="P237" s="173"/>
      <c r="Q237" s="126"/>
      <c r="R237" s="85"/>
    </row>
    <row r="238" spans="2:36" ht="17" thickBot="1" x14ac:dyDescent="0.25">
      <c r="B238" s="125"/>
      <c r="C238" s="90" t="s">
        <v>25</v>
      </c>
      <c r="D238" s="92" t="s">
        <v>26</v>
      </c>
      <c r="E238" s="393" t="s">
        <v>46</v>
      </c>
      <c r="F238" s="394" t="s">
        <v>47</v>
      </c>
      <c r="H238" s="350"/>
      <c r="I238" s="324" t="s">
        <v>25</v>
      </c>
      <c r="J238" s="92" t="s">
        <v>26</v>
      </c>
      <c r="K238" s="393" t="s">
        <v>46</v>
      </c>
      <c r="L238" s="351" t="s">
        <v>47</v>
      </c>
      <c r="N238" s="125"/>
      <c r="O238" s="90" t="s">
        <v>25</v>
      </c>
      <c r="P238" s="92" t="s">
        <v>26</v>
      </c>
      <c r="Q238" s="393" t="s">
        <v>46</v>
      </c>
      <c r="R238" s="394" t="s">
        <v>47</v>
      </c>
    </row>
    <row r="239" spans="2:36" ht="18" thickTop="1" thickBot="1" x14ac:dyDescent="0.25">
      <c r="B239" s="89" t="s">
        <v>645</v>
      </c>
      <c r="C239" s="69" t="s">
        <v>51</v>
      </c>
      <c r="D239" s="62"/>
      <c r="E239" s="56" cm="1">
        <f t="array" ref="E239">INDEX(Tabel3[[#All],[Geen]:[Waarde MIN]],_xlfn.XMATCH('SCENARIO 3 - Slechtste geval'!B239,Tabel3[[#All],[Overige inkomsten]]),_xlfn.XMATCH('SCENARIO 3 - Slechtste geval'!C239,Tabel3[[#Headers],[Geen]:[Waarde MIN]]))</f>
        <v>100</v>
      </c>
      <c r="F239" s="88">
        <f>IF(ISBLANK(D239),E239*$E$40,D239*$E$40)</f>
        <v>5000</v>
      </c>
      <c r="H239" s="352" t="str">
        <f>'DATA - Variabelen &amp; waarden'!B400</f>
        <v>GLB - basisbetaling</v>
      </c>
      <c r="I239" s="69" t="s">
        <v>51</v>
      </c>
      <c r="J239" s="62"/>
      <c r="K239" s="68" cm="1">
        <f t="array" ref="K239">_xlfn.XLOOKUP(I239,Tabel41[[#Headers],[Geen]:[Waarde MIN]],'DATA - Variabelen &amp; waarden'!D400:G400,"Selecteer waarde")</f>
        <v>200</v>
      </c>
      <c r="L239" s="353">
        <f>IF(ISBLANK(J239),K239*$E$40,J239*$E$40)</f>
        <v>10000</v>
      </c>
      <c r="N239" s="89" t="s">
        <v>194</v>
      </c>
      <c r="O239" s="69" t="s">
        <v>51</v>
      </c>
      <c r="P239" s="93"/>
      <c r="Q239" s="56" cm="1">
        <f t="array" ref="Q239">INDEX(Tabel36[[#All],[Geen]:[Waarde MIN]],_xlfn.XMATCH('SCENARIO 3 - Slechtste geval'!N239,Tabel36[[#All],[Referentie inkomsten - netto bedrijfsresultaten]]),_xlfn.XMATCH('SCENARIO 3 - Slechtste geval'!O239,Tabel36[[#Headers],[Geen]:[Waarde MIN]]))</f>
        <v>1027.8354203935598</v>
      </c>
      <c r="R239" s="88">
        <f>IF(ISBLANK(P239),Q239*$E$40,P239*$E$40)</f>
        <v>51391.771019677995</v>
      </c>
    </row>
    <row r="240" spans="2:36" ht="18" thickTop="1" thickBot="1" x14ac:dyDescent="0.25">
      <c r="B240" s="89" t="s">
        <v>195</v>
      </c>
      <c r="C240" s="69" t="s">
        <v>51</v>
      </c>
      <c r="D240" s="62"/>
      <c r="E240" s="56" cm="1">
        <f t="array" ref="E240">INDEX(Tabel3[[#All],[Geen]:[Waarde MIN]],_xlfn.XMATCH('SCENARIO 3 - Slechtste geval'!B240,Tabel3[[#All],[Overige inkomsten]]),_xlfn.XMATCH('SCENARIO 3 - Slechtste geval'!C240,Tabel3[[#Headers],[Geen]:[Waarde MIN]]))</f>
        <v>25</v>
      </c>
      <c r="F240" s="88">
        <f>IF(ISBLANK(D240),E240*$E$40,D240*$E$40)</f>
        <v>1250</v>
      </c>
      <c r="H240" s="352" t="str">
        <f>'DATA - Variabelen &amp; waarden'!B401</f>
        <v>GLB - vergroeningsbetaling</v>
      </c>
      <c r="I240" s="69" t="s">
        <v>51</v>
      </c>
      <c r="J240" s="62"/>
      <c r="K240" s="68" cm="1">
        <f t="array" ref="K240">_xlfn.XLOOKUP(I240,Tabel41[[#Headers],[Geen]:[Waarde MIN]],'DATA - Variabelen &amp; waarden'!D401:G401,"Selecteer waarde")</f>
        <v>50</v>
      </c>
      <c r="L240" s="353">
        <f>IF(ISBLANK(J240),K240*$E$40,J240*$E$40)</f>
        <v>2500</v>
      </c>
      <c r="N240" s="89" t="s">
        <v>196</v>
      </c>
      <c r="O240" s="69" t="s">
        <v>51</v>
      </c>
      <c r="P240" s="93"/>
      <c r="Q240" s="56" cm="1">
        <f t="array" ref="Q240">INDEX(Tabel36[[#All],[Geen]:[Waarde MIN]],_xlfn.XMATCH('SCENARIO 3 - Slechtste geval'!N240,Tabel36[[#All],[Referentie inkomsten - netto bedrijfsresultaten]]),_xlfn.XMATCH('SCENARIO 3 - Slechtste geval'!O240,Tabel36[[#Headers],[Geen]:[Waarde MIN]]))</f>
        <v>161</v>
      </c>
      <c r="R240" s="88">
        <f t="shared" ref="R240:R243" si="5">IF(ISBLANK(P240),Q240*$E$40,P240*$E$40)</f>
        <v>8050</v>
      </c>
    </row>
    <row r="241" spans="2:36" ht="18" thickTop="1" thickBot="1" x14ac:dyDescent="0.25">
      <c r="B241" s="89" t="s">
        <v>547</v>
      </c>
      <c r="C241" s="69" t="s">
        <v>51</v>
      </c>
      <c r="D241" s="62"/>
      <c r="E241" s="56" cm="1">
        <f t="array" ref="E241">INDEX(Tabel3[[#All],[Geen]:[Waarde MIN]],_xlfn.XMATCH('SCENARIO 3 - Slechtste geval'!B241,Tabel3[[#All],[Overige inkomsten]]),_xlfn.XMATCH('SCENARIO 3 - Slechtste geval'!C241,Tabel3[[#Headers],[Geen]:[Waarde MIN]]))</f>
        <v>0</v>
      </c>
      <c r="F241" s="88">
        <f>IF(ISBLANK(D241),E241*$E$40,D241*$E$40)</f>
        <v>0</v>
      </c>
      <c r="H241" s="352" t="str">
        <f>'DATA - Variabelen &amp; waarden'!B402</f>
        <v>Concept GLB - peil -30 tot 0</v>
      </c>
      <c r="I241" s="69" t="s">
        <v>63</v>
      </c>
      <c r="J241" s="62"/>
      <c r="K241" s="56" cm="1">
        <f t="array" ref="K241">_xlfn.XLOOKUP(I241,Tabel41[[#Headers],[Geen]:[Waarde MIN]],'DATA - Variabelen &amp; waarden'!D402:G402,"Selecteer waarde")</f>
        <v>0</v>
      </c>
      <c r="L241" s="353">
        <f t="shared" ref="L241:L242" si="6">IF(ISBLANK(J241),K241*$E$40,J241*$E$40)</f>
        <v>0</v>
      </c>
      <c r="N241" s="89" t="s">
        <v>197</v>
      </c>
      <c r="O241" s="69" t="s">
        <v>51</v>
      </c>
      <c r="P241" s="93"/>
      <c r="Q241" s="56" cm="1">
        <f t="array" ref="Q241">INDEX(Tabel36[[#All],[Geen]:[Waarde MIN]],_xlfn.XMATCH('SCENARIO 3 - Slechtste geval'!N241,Tabel36[[#All],[Referentie inkomsten - netto bedrijfsresultaten]]),_xlfn.XMATCH('SCENARIO 3 - Slechtste geval'!O241,Tabel36[[#Headers],[Geen]:[Waarde MIN]]))</f>
        <v>2036</v>
      </c>
      <c r="R241" s="88">
        <f t="shared" si="5"/>
        <v>101800</v>
      </c>
    </row>
    <row r="242" spans="2:36" ht="18" thickTop="1" thickBot="1" x14ac:dyDescent="0.25">
      <c r="B242" s="89" t="s">
        <v>63</v>
      </c>
      <c r="C242" s="69" t="s">
        <v>51</v>
      </c>
      <c r="D242" s="62"/>
      <c r="E242" s="56" cm="1">
        <f t="array" ref="E242">INDEX(Tabel3[[#All],[Geen]:[Waarde MIN]],_xlfn.XMATCH('SCENARIO 3 - Slechtste geval'!B242,Tabel3[[#All],[Overige inkomsten]]),_xlfn.XMATCH('SCENARIO 3 - Slechtste geval'!C242,Tabel3[[#Headers],[Geen]:[Waarde MIN]]))</f>
        <v>0</v>
      </c>
      <c r="F242" s="88">
        <f>IF(ISBLANK(D242),E242*$E$40,D242*$E$40)</f>
        <v>0</v>
      </c>
      <c r="H242" s="352" t="str">
        <f>'DATA - Variabelen &amp; waarden'!B403</f>
        <v>Concept GLB - peil -30 tot -21</v>
      </c>
      <c r="I242" s="69" t="s">
        <v>63</v>
      </c>
      <c r="J242" s="62"/>
      <c r="K242" s="56" cm="1">
        <f t="array" ref="K242">_xlfn.XLOOKUP(I242,Tabel41[[#Headers],[Geen]:[Waarde MIN]],'DATA - Variabelen &amp; waarden'!D403:G403,"Selecteer waarde")</f>
        <v>0</v>
      </c>
      <c r="L242" s="353">
        <f t="shared" si="6"/>
        <v>0</v>
      </c>
      <c r="N242" s="89" t="s">
        <v>63</v>
      </c>
      <c r="O242" s="69" t="s">
        <v>51</v>
      </c>
      <c r="P242" s="93"/>
      <c r="Q242" s="314" cm="1">
        <f t="array" ref="Q242">INDEX(Tabel36[[#All],[Geen]:[Waarde MIN]],_xlfn.XMATCH('SCENARIO 3 - Slechtste geval'!N242,Tabel36[[#All],[Referentie inkomsten - netto bedrijfsresultaten]]),_xlfn.XMATCH('SCENARIO 3 - Slechtste geval'!O242,Tabel36[[#Headers],[Geen]:[Waarde MIN]]))</f>
        <v>0</v>
      </c>
      <c r="R242" s="88">
        <f t="shared" si="5"/>
        <v>0</v>
      </c>
    </row>
    <row r="243" spans="2:36" ht="18" thickTop="1" thickBot="1" x14ac:dyDescent="0.25">
      <c r="B243" s="89" t="s">
        <v>63</v>
      </c>
      <c r="C243" s="69" t="s">
        <v>51</v>
      </c>
      <c r="D243" s="62"/>
      <c r="E243" s="56" cm="1">
        <f t="array" ref="E243">INDEX(Tabel3[[#All],[Geen]:[Waarde MIN]],_xlfn.XMATCH('SCENARIO 3 - Slechtste geval'!B243,Tabel3[[#All],[Overige inkomsten]]),_xlfn.XMATCH('SCENARIO 3 - Slechtste geval'!C243,Tabel3[[#Headers],[Geen]:[Waarde MIN]]))</f>
        <v>0</v>
      </c>
      <c r="F243" s="88">
        <f>IF(ISBLANK(D243),E243*$E$40,D243*$E$40)</f>
        <v>0</v>
      </c>
      <c r="H243" s="352"/>
      <c r="I243" s="171"/>
      <c r="J243" s="171"/>
      <c r="K243" s="393"/>
      <c r="L243" s="351"/>
      <c r="N243" s="89" t="s">
        <v>63</v>
      </c>
      <c r="O243" s="69" t="s">
        <v>51</v>
      </c>
      <c r="P243" s="93"/>
      <c r="Q243" s="314" cm="1">
        <f t="array" ref="Q243">INDEX(Tabel36[[#All],[Geen]:[Waarde MIN]],_xlfn.XMATCH('SCENARIO 3 - Slechtste geval'!N243,Tabel36[[#All],[Referentie inkomsten - netto bedrijfsresultaten]]),_xlfn.XMATCH('SCENARIO 3 - Slechtste geval'!O243,Tabel36[[#Headers],[Geen]:[Waarde MIN]]))</f>
        <v>0</v>
      </c>
      <c r="R243" s="88">
        <f t="shared" si="5"/>
        <v>0</v>
      </c>
    </row>
    <row r="244" spans="2:36" ht="17" thickTop="1" x14ac:dyDescent="0.2">
      <c r="B244" s="79"/>
      <c r="C244" s="171"/>
      <c r="D244" s="171"/>
      <c r="E244" s="56"/>
      <c r="F244" s="80"/>
      <c r="H244" s="354"/>
      <c r="I244" s="355"/>
      <c r="J244" s="355"/>
      <c r="K244" s="355"/>
      <c r="L244" s="356"/>
      <c r="N244" s="81"/>
      <c r="O244" s="172"/>
      <c r="P244" s="172"/>
      <c r="Q244" s="172"/>
      <c r="R244" s="82"/>
    </row>
    <row r="245" spans="2:36" x14ac:dyDescent="0.2">
      <c r="B245" s="109" t="s">
        <v>742</v>
      </c>
      <c r="C245" s="90"/>
      <c r="D245" s="171"/>
      <c r="E245" s="92"/>
      <c r="F245" s="80"/>
      <c r="G245" s="28"/>
      <c r="H245" s="38"/>
      <c r="I245" s="38"/>
      <c r="J245" s="38"/>
      <c r="K245" s="38"/>
      <c r="L245" s="38"/>
    </row>
    <row r="246" spans="2:36" x14ac:dyDescent="0.2">
      <c r="B246" s="125"/>
      <c r="C246" s="90" t="s">
        <v>25</v>
      </c>
      <c r="D246" s="92" t="s">
        <v>26</v>
      </c>
      <c r="E246" s="330" t="s">
        <v>46</v>
      </c>
      <c r="F246" s="394" t="s">
        <v>47</v>
      </c>
      <c r="G246" s="28"/>
      <c r="N246" s="87" t="s">
        <v>764</v>
      </c>
      <c r="O246" s="91"/>
      <c r="P246" s="173"/>
      <c r="Q246" s="126"/>
      <c r="R246" s="85"/>
    </row>
    <row r="247" spans="2:36" ht="17" thickBot="1" x14ac:dyDescent="0.25">
      <c r="B247" s="187" t="s">
        <v>198</v>
      </c>
      <c r="C247" s="67">
        <f>E44</f>
        <v>15</v>
      </c>
      <c r="D247" s="62"/>
      <c r="E247" s="331">
        <f>IF(ISBLANK(D247),C247,D247)</f>
        <v>15</v>
      </c>
      <c r="F247" s="185" t="s">
        <v>36</v>
      </c>
      <c r="G247" s="28"/>
      <c r="N247" s="125"/>
      <c r="O247" s="333" t="s">
        <v>25</v>
      </c>
      <c r="P247" s="334" t="s">
        <v>26</v>
      </c>
      <c r="Q247" s="330" t="s">
        <v>46</v>
      </c>
      <c r="R247" s="394" t="s">
        <v>47</v>
      </c>
    </row>
    <row r="248" spans="2:36" ht="18" thickTop="1" thickBot="1" x14ac:dyDescent="0.25">
      <c r="B248" s="187" t="s">
        <v>199</v>
      </c>
      <c r="C248" s="69" t="s">
        <v>51</v>
      </c>
      <c r="D248" s="62"/>
      <c r="E248" s="332" cm="1">
        <f t="array" ref="E248">IF(ISBLANK(D248),_xlfn.XLOOKUP(C248,Tabel40[[#Headers],[Geen]:[Waarde MIN]],Tabel40[[Geen]:[Waarde MIN]],"Selecteer waarde"),D248)</f>
        <v>20</v>
      </c>
      <c r="F248" s="185" t="s">
        <v>200</v>
      </c>
      <c r="G248" s="28"/>
      <c r="N248" s="189" t="str" cm="1">
        <f t="array" ref="N248">Tabel42[Minimaal inkomen (netto bedrijfsresultaat)]</f>
        <v>Minimaal inkomen</v>
      </c>
      <c r="O248" s="69" t="s">
        <v>51</v>
      </c>
      <c r="P248" s="93"/>
      <c r="Q248" s="314" cm="1">
        <f t="array" ref="Q248">_xlfn.XLOOKUP(O248,Tabel42[[#Headers],[Geen]:[Waarde MIN]],Tabel42[[Geen]:[Waarde MIN]],"Selecteer waarde")</f>
        <v>1027.8354203935598</v>
      </c>
      <c r="R248" s="88">
        <f>IF(ISBLANK(P248),Q248*$E$40,P248*$E$40)</f>
        <v>51391.771019677995</v>
      </c>
    </row>
    <row r="249" spans="2:36" ht="17" thickTop="1" x14ac:dyDescent="0.2">
      <c r="B249" s="207" t="s">
        <v>201</v>
      </c>
      <c r="C249" s="171"/>
      <c r="D249" s="171"/>
      <c r="E249" s="314">
        <f>E247*E248</f>
        <v>300</v>
      </c>
      <c r="F249" s="88">
        <f>E249*E40</f>
        <v>15000</v>
      </c>
      <c r="G249" s="28"/>
      <c r="N249" s="79"/>
      <c r="O249" s="171"/>
      <c r="P249" s="171"/>
      <c r="Q249" s="171"/>
      <c r="R249" s="80"/>
    </row>
    <row r="250" spans="2:36" x14ac:dyDescent="0.2">
      <c r="B250" s="322"/>
      <c r="C250" s="172"/>
      <c r="D250" s="172"/>
      <c r="E250" s="172"/>
      <c r="F250" s="323"/>
      <c r="G250" s="28"/>
      <c r="N250" s="322"/>
      <c r="O250" s="172"/>
      <c r="P250" s="172"/>
      <c r="Q250" s="172"/>
      <c r="R250" s="323"/>
    </row>
    <row r="254" spans="2:36" ht="19" x14ac:dyDescent="0.25">
      <c r="B254" s="283" t="s">
        <v>202</v>
      </c>
      <c r="C254" s="283"/>
      <c r="D254" s="283"/>
      <c r="E254" s="283"/>
      <c r="F254" s="283"/>
      <c r="G254" s="283"/>
      <c r="H254" s="283"/>
      <c r="I254" s="283"/>
      <c r="J254" s="283"/>
      <c r="K254" s="283"/>
      <c r="L254" s="283"/>
      <c r="M254" s="283"/>
      <c r="N254" s="283"/>
      <c r="O254" s="283"/>
      <c r="P254" s="283"/>
      <c r="Q254" s="283"/>
      <c r="R254" s="283"/>
      <c r="S254" s="283"/>
      <c r="T254" s="283"/>
      <c r="U254" s="283"/>
      <c r="V254" s="283"/>
      <c r="W254" s="283"/>
      <c r="X254" s="283"/>
      <c r="Y254" s="283"/>
      <c r="Z254" s="283"/>
      <c r="AA254" s="283"/>
      <c r="AB254" s="283"/>
      <c r="AC254" s="283"/>
      <c r="AD254" s="283"/>
      <c r="AE254" s="283"/>
      <c r="AF254" s="283"/>
      <c r="AG254" s="283"/>
      <c r="AH254" s="283"/>
      <c r="AI254" s="283"/>
      <c r="AJ254" s="283"/>
    </row>
    <row r="256" spans="2:36" ht="17" x14ac:dyDescent="0.2">
      <c r="B256" s="105" t="s">
        <v>203</v>
      </c>
      <c r="C256" s="105"/>
      <c r="D256" s="105"/>
      <c r="E256" s="105"/>
      <c r="F256" s="105"/>
      <c r="G256" s="210"/>
      <c r="H256" s="105" t="s">
        <v>204</v>
      </c>
      <c r="I256" s="105"/>
      <c r="J256" s="105"/>
      <c r="K256" s="105"/>
      <c r="L256" s="105"/>
      <c r="M256" s="210"/>
      <c r="N256" s="105" t="s">
        <v>205</v>
      </c>
      <c r="O256" s="105"/>
      <c r="P256" s="105"/>
      <c r="Q256" s="105"/>
      <c r="R256" s="105"/>
      <c r="S256" s="105"/>
      <c r="T256" s="105"/>
    </row>
    <row r="257" spans="2:22" x14ac:dyDescent="0.2">
      <c r="B257" s="1"/>
      <c r="C257" s="1"/>
      <c r="D257" s="2"/>
      <c r="E257" s="2"/>
      <c r="F257" s="2"/>
    </row>
    <row r="258" spans="2:22" x14ac:dyDescent="0.2">
      <c r="B258" s="1" t="s">
        <v>206</v>
      </c>
      <c r="C258" s="1" t="s">
        <v>207</v>
      </c>
      <c r="D258" s="2" t="s">
        <v>47</v>
      </c>
      <c r="E258" s="2" t="s">
        <v>46</v>
      </c>
      <c r="F258" s="2" t="s">
        <v>208</v>
      </c>
      <c r="H258" s="1" t="s">
        <v>206</v>
      </c>
      <c r="I258" s="1" t="s">
        <v>207</v>
      </c>
      <c r="J258" s="2" t="s">
        <v>47</v>
      </c>
      <c r="K258" s="2" t="s">
        <v>46</v>
      </c>
      <c r="L258" s="2" t="s">
        <v>208</v>
      </c>
      <c r="N258" s="1" t="s">
        <v>206</v>
      </c>
      <c r="O258" s="1" t="s">
        <v>207</v>
      </c>
      <c r="P258" s="2" t="s">
        <v>47</v>
      </c>
      <c r="Q258" s="2" t="s">
        <v>46</v>
      </c>
      <c r="R258" s="2" t="s">
        <v>208</v>
      </c>
      <c r="T258" s="2" t="s">
        <v>753</v>
      </c>
    </row>
    <row r="259" spans="2:22" x14ac:dyDescent="0.2">
      <c r="B259" t="s">
        <v>209</v>
      </c>
      <c r="C259" t="s">
        <v>30</v>
      </c>
      <c r="D259" s="212">
        <f>E40</f>
        <v>50</v>
      </c>
      <c r="N259" t="s">
        <v>210</v>
      </c>
      <c r="O259" s="270" t="s">
        <v>211</v>
      </c>
      <c r="P259" s="294">
        <f>Q259*D259</f>
        <v>51391.771019677995</v>
      </c>
      <c r="Q259" s="212">
        <f>Q248</f>
        <v>1027.8354203935598</v>
      </c>
      <c r="R259" s="212">
        <f>P259/D260</f>
        <v>114.20393559928445</v>
      </c>
      <c r="V259" s="294"/>
    </row>
    <row r="260" spans="2:22" x14ac:dyDescent="0.2">
      <c r="B260" t="s">
        <v>212</v>
      </c>
      <c r="C260" t="s">
        <v>81</v>
      </c>
      <c r="D260" s="212">
        <f>SUM(E110:E111)</f>
        <v>449.99999999999994</v>
      </c>
      <c r="E260">
        <f>D260/D259</f>
        <v>8.9999999999999982</v>
      </c>
      <c r="N260" t="s">
        <v>213</v>
      </c>
      <c r="O260" t="s">
        <v>41</v>
      </c>
      <c r="P260" s="294">
        <f>Q260*D259</f>
        <v>750</v>
      </c>
      <c r="Q260" s="294">
        <f>E44</f>
        <v>15</v>
      </c>
      <c r="R260" s="414">
        <f>P260/D260</f>
        <v>1.666666666666667</v>
      </c>
    </row>
    <row r="261" spans="2:22" x14ac:dyDescent="0.2">
      <c r="P261" s="3"/>
      <c r="Q261" s="3"/>
      <c r="R261" s="3"/>
    </row>
    <row r="262" spans="2:22" ht="21" x14ac:dyDescent="0.25">
      <c r="B262" s="291" t="s">
        <v>755</v>
      </c>
      <c r="C262" s="291" t="s">
        <v>211</v>
      </c>
      <c r="D262" s="292">
        <f>SUM(D264,D272,D280,D282)</f>
        <v>181430.48112887764</v>
      </c>
      <c r="E262" s="292">
        <f t="shared" ref="E262:F262" si="7">SUM(E264,E272,E280,E282)</f>
        <v>3628.6096225775536</v>
      </c>
      <c r="F262" s="292">
        <f t="shared" si="7"/>
        <v>403.17884695306145</v>
      </c>
      <c r="G262" s="286"/>
      <c r="H262" s="291" t="s">
        <v>214</v>
      </c>
      <c r="I262" s="291"/>
      <c r="J262" s="291"/>
      <c r="K262" s="291"/>
      <c r="L262" s="291"/>
      <c r="N262" s="291" t="s">
        <v>215</v>
      </c>
      <c r="O262" s="291"/>
      <c r="P262" s="291"/>
      <c r="Q262" s="291"/>
      <c r="R262" s="291"/>
      <c r="S262" s="404"/>
      <c r="T262" s="404"/>
    </row>
    <row r="263" spans="2:22" x14ac:dyDescent="0.2">
      <c r="B263" s="148"/>
      <c r="D263" s="211"/>
      <c r="E263" s="211"/>
      <c r="F263" s="211"/>
    </row>
    <row r="264" spans="2:22" x14ac:dyDescent="0.2">
      <c r="B264" s="1" t="s">
        <v>216</v>
      </c>
      <c r="C264" s="1" t="s">
        <v>211</v>
      </c>
      <c r="D264" s="8">
        <f>SUM(D265:D270)</f>
        <v>147680.48112887764</v>
      </c>
      <c r="E264" s="8">
        <f>SUM(E265:E270)</f>
        <v>2953.6096225775536</v>
      </c>
      <c r="F264" s="8">
        <f>D264/$D$260</f>
        <v>328.17884695306145</v>
      </c>
      <c r="G264" s="1"/>
      <c r="H264" t="str">
        <f>IF(N239="Geen","-",N239)</f>
        <v>Melkvee op veen</v>
      </c>
      <c r="I264" s="270" t="str">
        <f>IF(H264="-","-","[€/a]")</f>
        <v>[€/a]</v>
      </c>
      <c r="J264" s="3">
        <f>R239</f>
        <v>51391.771019677995</v>
      </c>
      <c r="K264" s="3">
        <f>J264/$D$259</f>
        <v>1027.8354203935598</v>
      </c>
      <c r="L264" s="281" t="str">
        <f>IF(H264="-","-","n.v.t")</f>
        <v>n.v.t</v>
      </c>
      <c r="N264" t="s">
        <v>217</v>
      </c>
      <c r="O264" s="270" t="s">
        <v>211</v>
      </c>
      <c r="P264" s="408">
        <f>Q264*$D$259</f>
        <v>632224.71006858558</v>
      </c>
      <c r="Q264" s="408">
        <f>IF(E310&lt;$Q$259,$Q$259-E310,0)</f>
        <v>12644.494201371712</v>
      </c>
      <c r="R264" s="408">
        <f>P264/$D$260</f>
        <v>1404.9438001524127</v>
      </c>
      <c r="S264" s="408"/>
      <c r="T264" s="409">
        <f>Q264/$Q$260</f>
        <v>842.9662800914474</v>
      </c>
    </row>
    <row r="265" spans="2:22" x14ac:dyDescent="0.2">
      <c r="B265" t="str">
        <f>B169</f>
        <v>Bouw - Inblaasisolatie</v>
      </c>
      <c r="C265" s="270" t="s">
        <v>211</v>
      </c>
      <c r="D265" s="3">
        <f>F169</f>
        <v>102046.38888888889</v>
      </c>
      <c r="E265" s="3">
        <f>D265/$D$259</f>
        <v>2040.9277777777779</v>
      </c>
      <c r="F265" s="288">
        <f>I177</f>
        <v>927.69444444444446</v>
      </c>
      <c r="H265" s="52" t="str">
        <f>IF(H264="-","-","Verschil lisdodde")</f>
        <v>Verschil lisdodde</v>
      </c>
      <c r="I265" s="52" t="str">
        <f>IF(H264="-","-","[€/a]")</f>
        <v>[€/a]</v>
      </c>
      <c r="J265" s="136">
        <f>IF(H264="-",0,$D$307-J264)</f>
        <v>-598474.71006858558</v>
      </c>
      <c r="K265" s="136">
        <f>IF(H264="-",0,$E$307-K264)</f>
        <v>-11969.494201371712</v>
      </c>
      <c r="L265" s="280"/>
      <c r="N265" s="52" t="s">
        <v>751</v>
      </c>
      <c r="P265" s="408"/>
      <c r="Q265" s="408"/>
      <c r="R265" s="408"/>
      <c r="S265" s="408"/>
      <c r="T265" s="409"/>
    </row>
    <row r="266" spans="2:22" x14ac:dyDescent="0.2">
      <c r="B266" t="str">
        <f>B170</f>
        <v>Bouw - Beton - Droge mortel - Versterker</v>
      </c>
      <c r="C266" s="270" t="s">
        <v>211</v>
      </c>
      <c r="D266" s="3">
        <f>F170</f>
        <v>9596.3860544217659</v>
      </c>
      <c r="E266" s="3">
        <f>D266/$D$259</f>
        <v>191.92772108843531</v>
      </c>
      <c r="F266" s="288">
        <f>O177</f>
        <v>696.62654320987644</v>
      </c>
      <c r="I266" s="270"/>
      <c r="J266" s="3"/>
      <c r="L266" s="281"/>
      <c r="P266" s="408"/>
      <c r="Q266" s="408"/>
      <c r="R266" s="408"/>
      <c r="S266" s="408"/>
      <c r="T266" s="409"/>
    </row>
    <row r="267" spans="2:22" x14ac:dyDescent="0.2">
      <c r="B267" t="str">
        <f>B171</f>
        <v>Bouw - Isolatieplaat (Typha Board)</v>
      </c>
      <c r="C267" s="270" t="s">
        <v>211</v>
      </c>
      <c r="D267" s="3">
        <f>F171</f>
        <v>30546.388888888891</v>
      </c>
      <c r="E267" s="3">
        <f>D267/$D$259</f>
        <v>610.92777777777781</v>
      </c>
      <c r="F267" s="288">
        <f>U177</f>
        <v>277.69444444444446</v>
      </c>
      <c r="H267" t="str">
        <f>IF(N240="Geen","-",N240)</f>
        <v>Verhuur / verpachten</v>
      </c>
      <c r="I267" s="270" t="str">
        <f>IF(H267="-","-","[€/a]")</f>
        <v>[€/a]</v>
      </c>
      <c r="J267" s="3">
        <f>R240</f>
        <v>8050</v>
      </c>
      <c r="K267" s="3">
        <f t="shared" ref="K267:K276" si="8">J267/$D$259</f>
        <v>161</v>
      </c>
      <c r="L267" s="281" t="str">
        <f>IF(H267="-","-","n.v.t")</f>
        <v>n.v.t</v>
      </c>
      <c r="N267" t="s">
        <v>218</v>
      </c>
      <c r="O267" s="270" t="s">
        <v>211</v>
      </c>
      <c r="P267" s="408">
        <f>Q267*$D$259</f>
        <v>619724.71006858558</v>
      </c>
      <c r="Q267" s="408">
        <f>IF(E313&lt;$Q$259,$Q$259-E313,0)</f>
        <v>12394.494201371712</v>
      </c>
      <c r="R267" s="408">
        <f>P267/$D$260</f>
        <v>1377.1660223746348</v>
      </c>
      <c r="S267" s="408"/>
      <c r="T267" s="409">
        <f>Q267/$Q$260</f>
        <v>826.29961342478077</v>
      </c>
    </row>
    <row r="268" spans="2:22" x14ac:dyDescent="0.2">
      <c r="B268" t="str">
        <f>B172</f>
        <v xml:space="preserve">Plastics - Spuitgieten - Vuller </v>
      </c>
      <c r="C268" s="270" t="s">
        <v>211</v>
      </c>
      <c r="D268" s="3">
        <f>F172</f>
        <v>-401.22436998853664</v>
      </c>
      <c r="E268" s="3">
        <f>D268/$D$259</f>
        <v>-8.0244873997707327</v>
      </c>
      <c r="F268" s="288">
        <f>AA177</f>
        <v>-5.1388081981762923</v>
      </c>
      <c r="H268" s="52" t="str">
        <f>IF(H267="-","-","Verschil lisdodde")</f>
        <v>Verschil lisdodde</v>
      </c>
      <c r="I268" s="52" t="str">
        <f>IF(H267="-","-","[€/a]")</f>
        <v>[€/a]</v>
      </c>
      <c r="J268" s="136">
        <f>IF(H267="-",0,$D$307-J267)</f>
        <v>-555132.9390489076</v>
      </c>
      <c r="K268" s="136">
        <f>IF(H267="-",0,$E$307-K267)</f>
        <v>-11102.658780978152</v>
      </c>
      <c r="L268" s="280"/>
      <c r="N268" s="52" t="s">
        <v>743</v>
      </c>
      <c r="P268" s="408"/>
      <c r="Q268" s="408"/>
      <c r="R268" s="408"/>
      <c r="S268" s="408"/>
      <c r="T268" s="409"/>
    </row>
    <row r="269" spans="2:22" x14ac:dyDescent="0.2">
      <c r="B269" t="str">
        <f>B173</f>
        <v>Papier - Massief karton - Vuller</v>
      </c>
      <c r="C269" s="270" t="s">
        <v>211</v>
      </c>
      <c r="D269" s="3">
        <f>F173</f>
        <v>5892.541666666667</v>
      </c>
      <c r="E269" s="3">
        <f>D269/$D$259</f>
        <v>117.85083333333334</v>
      </c>
      <c r="F269" s="288">
        <f>AG177</f>
        <v>62.354938271604944</v>
      </c>
      <c r="I269" s="270"/>
      <c r="J269" s="3"/>
      <c r="L269" s="281"/>
      <c r="P269" s="408"/>
      <c r="Q269" s="408"/>
      <c r="R269" s="408"/>
      <c r="S269" s="408"/>
      <c r="T269" s="409"/>
    </row>
    <row r="270" spans="2:22" x14ac:dyDescent="0.2">
      <c r="B270" s="52" t="s">
        <v>219</v>
      </c>
      <c r="C270" s="270" t="s">
        <v>211</v>
      </c>
      <c r="D270" s="209"/>
      <c r="E270" s="209"/>
      <c r="F270" s="209"/>
      <c r="H270" t="str">
        <f>IF(N241="Geen","-",N241)</f>
        <v>Zonnepanelen</v>
      </c>
      <c r="I270" s="270" t="str">
        <f>IF(H270="-","-","[€/a]")</f>
        <v>[€/a]</v>
      </c>
      <c r="J270" s="3">
        <f>R241</f>
        <v>101800</v>
      </c>
      <c r="K270" s="3">
        <f t="shared" si="8"/>
        <v>2036</v>
      </c>
      <c r="L270" s="281" t="str">
        <f>IF(H270="-","-","n.v.t")</f>
        <v>n.v.t</v>
      </c>
      <c r="N270" t="s">
        <v>220</v>
      </c>
      <c r="O270" s="270" t="s">
        <v>211</v>
      </c>
      <c r="P270" s="408">
        <f>Q270*$D$259</f>
        <v>613474.71006858558</v>
      </c>
      <c r="Q270" s="408">
        <f>IF(E316&lt;$Q$259,$Q$259-E316,0)</f>
        <v>12269.494201371712</v>
      </c>
      <c r="R270" s="408">
        <f>P270/$D$260</f>
        <v>1363.2771334857459</v>
      </c>
      <c r="S270" s="408"/>
      <c r="T270" s="409">
        <f>Q270/$Q$260</f>
        <v>817.9662800914474</v>
      </c>
    </row>
    <row r="271" spans="2:22" x14ac:dyDescent="0.2">
      <c r="C271" s="270"/>
      <c r="D271" s="3"/>
      <c r="E271" s="3"/>
      <c r="F271" s="3"/>
      <c r="H271" s="52" t="str">
        <f>IF(H270="-","-","Verschil lisdodde")</f>
        <v>Verschil lisdodde</v>
      </c>
      <c r="I271" s="52" t="str">
        <f>IF(H270="-","-","[€/a]")</f>
        <v>[€/a]</v>
      </c>
      <c r="J271" s="136">
        <f>IF(H270="-",0,$D$307-J270)</f>
        <v>-648882.9390489076</v>
      </c>
      <c r="K271" s="136">
        <f>IF(H270="-",0,$E$307-K270)</f>
        <v>-12977.658780978152</v>
      </c>
      <c r="L271" s="280"/>
      <c r="N271" s="52" t="s">
        <v>744</v>
      </c>
      <c r="P271" s="408"/>
      <c r="Q271" s="408"/>
      <c r="R271" s="408"/>
      <c r="S271" s="408"/>
      <c r="T271" s="409"/>
    </row>
    <row r="272" spans="2:22" x14ac:dyDescent="0.2">
      <c r="B272" s="1" t="str">
        <f>B237</f>
        <v xml:space="preserve">Overige inkomsten </v>
      </c>
      <c r="C272" s="1" t="s">
        <v>211</v>
      </c>
      <c r="D272" s="8">
        <f>SUM(D273:D278)</f>
        <v>6250</v>
      </c>
      <c r="E272" s="8">
        <f>SUM(E273:E278)</f>
        <v>125</v>
      </c>
      <c r="F272" s="8">
        <f>SUM(F273:F278)</f>
        <v>13.888888888888891</v>
      </c>
      <c r="G272" s="1"/>
      <c r="I272" s="270"/>
      <c r="J272" s="3"/>
      <c r="L272" s="281"/>
      <c r="P272" s="408"/>
      <c r="Q272" s="408"/>
      <c r="R272" s="408"/>
      <c r="S272" s="408"/>
      <c r="T272" s="409"/>
    </row>
    <row r="273" spans="2:20" x14ac:dyDescent="0.2">
      <c r="B273" t="str">
        <f>IF(B239="Geen","-",B239)</f>
        <v>Natuurbeheerpakket</v>
      </c>
      <c r="C273" s="270" t="s">
        <v>211</v>
      </c>
      <c r="D273" s="3">
        <f>F239</f>
        <v>5000</v>
      </c>
      <c r="E273" s="3">
        <f>D273/$D$259</f>
        <v>100</v>
      </c>
      <c r="F273" s="3">
        <f>D273/$D$260</f>
        <v>11.111111111111112</v>
      </c>
      <c r="H273" t="str">
        <f>IF(N242="Geen","-",N242)</f>
        <v>-</v>
      </c>
      <c r="I273" s="270" t="str">
        <f>IF(H273="-","-","[€/a]")</f>
        <v>-</v>
      </c>
      <c r="J273" s="3">
        <f>R242</f>
        <v>0</v>
      </c>
      <c r="K273" s="3">
        <f t="shared" si="8"/>
        <v>0</v>
      </c>
      <c r="L273" s="281" t="str">
        <f>IF(H273="-","-","n.v.t")</f>
        <v>-</v>
      </c>
      <c r="N273" s="270" t="s">
        <v>752</v>
      </c>
      <c r="O273" s="270" t="s">
        <v>211</v>
      </c>
      <c r="P273" s="408">
        <f>Q273*$D$259</f>
        <v>598474.71006858558</v>
      </c>
      <c r="Q273" s="408">
        <f>IF(E319&lt;$Q$259,$Q$259-E319,0)</f>
        <v>11969.494201371712</v>
      </c>
      <c r="R273" s="408">
        <f>P273/$D$260</f>
        <v>1329.9438001524127</v>
      </c>
      <c r="S273" s="408"/>
      <c r="T273" s="409">
        <f>Q273/$Q$260</f>
        <v>797.9662800914474</v>
      </c>
    </row>
    <row r="274" spans="2:20" x14ac:dyDescent="0.2">
      <c r="B274" t="str">
        <f t="shared" ref="B274:B277" si="9">IF(B240="Geen","-",B240)</f>
        <v>Waterbuffering</v>
      </c>
      <c r="C274" s="270" t="s">
        <v>211</v>
      </c>
      <c r="D274" s="3">
        <f>F240</f>
        <v>1250</v>
      </c>
      <c r="E274" s="3">
        <f t="shared" ref="E274:E277" si="10">D274/$D$259</f>
        <v>25</v>
      </c>
      <c r="F274" s="3">
        <f>D274/$D$260</f>
        <v>2.7777777777777781</v>
      </c>
      <c r="H274" s="52" t="str">
        <f>IF(H273="-","-","Verschil lisdodde")</f>
        <v>-</v>
      </c>
      <c r="I274" s="52" t="str">
        <f>IF(H273="-","-","[€/a]")</f>
        <v>-</v>
      </c>
      <c r="J274" s="136">
        <f>IF(H273="-",0,$D$307-J273)</f>
        <v>0</v>
      </c>
      <c r="K274" s="136">
        <f>IF(H273="-",0,$E$307-K273)</f>
        <v>0</v>
      </c>
      <c r="L274" s="280"/>
      <c r="N274" s="52" t="s">
        <v>221</v>
      </c>
      <c r="P274" s="408"/>
      <c r="Q274" s="408"/>
      <c r="R274" s="408"/>
      <c r="S274" s="408"/>
      <c r="T274" s="409"/>
    </row>
    <row r="275" spans="2:20" x14ac:dyDescent="0.2">
      <c r="B275" t="str">
        <f t="shared" si="9"/>
        <v>Overige ecosysteemdiensten</v>
      </c>
      <c r="C275" s="270" t="s">
        <v>211</v>
      </c>
      <c r="D275" s="3">
        <f>F241</f>
        <v>0</v>
      </c>
      <c r="E275" s="3">
        <f t="shared" si="10"/>
        <v>0</v>
      </c>
      <c r="F275" s="3">
        <f>D275/$D$260</f>
        <v>0</v>
      </c>
      <c r="I275" s="270"/>
      <c r="J275" s="3"/>
      <c r="L275" s="281"/>
      <c r="P275" s="408"/>
      <c r="Q275" s="408"/>
      <c r="R275" s="408"/>
      <c r="S275" s="408"/>
      <c r="T275" s="409"/>
    </row>
    <row r="276" spans="2:20" x14ac:dyDescent="0.2">
      <c r="B276" t="str">
        <f t="shared" si="9"/>
        <v>-</v>
      </c>
      <c r="C276" s="270" t="s">
        <v>211</v>
      </c>
      <c r="D276" s="3">
        <f>F242</f>
        <v>0</v>
      </c>
      <c r="E276" s="3">
        <f t="shared" si="10"/>
        <v>0</v>
      </c>
      <c r="F276" s="3">
        <f>D276/$D$260</f>
        <v>0</v>
      </c>
      <c r="H276" t="str">
        <f>IF(N243="Geen","-",N243)</f>
        <v>-</v>
      </c>
      <c r="I276" s="270" t="str">
        <f>IF(H276="-","-","[€/a]")</f>
        <v>-</v>
      </c>
      <c r="J276" s="3">
        <f>R243</f>
        <v>0</v>
      </c>
      <c r="K276" s="3">
        <f t="shared" si="8"/>
        <v>0</v>
      </c>
      <c r="L276" s="281" t="str">
        <f>IF(H276="-","-","n.v.t")</f>
        <v>-</v>
      </c>
      <c r="N276" s="38" t="s">
        <v>763</v>
      </c>
      <c r="O276" s="270" t="s">
        <v>211</v>
      </c>
      <c r="P276" s="408">
        <f>Q276*$D$259</f>
        <v>598474.71006858558</v>
      </c>
      <c r="Q276" s="408">
        <f>IF(E307&lt;$Q$259,$Q$259-E307,0)</f>
        <v>11969.494201371712</v>
      </c>
      <c r="R276" s="408">
        <f>P276/$D$260</f>
        <v>1329.9438001524127</v>
      </c>
      <c r="S276" s="408"/>
      <c r="T276" s="409">
        <f>Q276/$Q$260</f>
        <v>797.9662800914474</v>
      </c>
    </row>
    <row r="277" spans="2:20" x14ac:dyDescent="0.2">
      <c r="B277" t="str">
        <f t="shared" si="9"/>
        <v>-</v>
      </c>
      <c r="C277" s="270" t="s">
        <v>211</v>
      </c>
      <c r="D277" s="3">
        <f>F243</f>
        <v>0</v>
      </c>
      <c r="E277" s="3">
        <f t="shared" si="10"/>
        <v>0</v>
      </c>
      <c r="F277" s="3">
        <f>D277/$D$260</f>
        <v>0</v>
      </c>
      <c r="H277" s="52" t="str">
        <f>IF(H276="-","-","Verschil lisdodde")</f>
        <v>-</v>
      </c>
      <c r="I277" s="52" t="str">
        <f>IF(H276="-","-","[€/a]")</f>
        <v>-</v>
      </c>
      <c r="J277" s="136">
        <f>IF(H276="-",0,$D$307-J276)</f>
        <v>0</v>
      </c>
      <c r="K277" s="136">
        <f>IF(H276="-",0,$E$307-K276)</f>
        <v>0</v>
      </c>
      <c r="L277" s="280"/>
    </row>
    <row r="278" spans="2:20" x14ac:dyDescent="0.2">
      <c r="B278" s="52" t="s">
        <v>223</v>
      </c>
      <c r="C278" s="270" t="s">
        <v>211</v>
      </c>
      <c r="D278" s="94"/>
      <c r="E278" s="209"/>
      <c r="F278" s="209"/>
      <c r="H278" s="52"/>
    </row>
    <row r="279" spans="2:20" x14ac:dyDescent="0.2">
      <c r="C279" s="270"/>
      <c r="D279" s="2"/>
      <c r="E279" s="2"/>
      <c r="F279" s="2"/>
      <c r="H279" s="52" t="s">
        <v>708</v>
      </c>
      <c r="N279" s="295"/>
      <c r="O279" s="295"/>
      <c r="P279" s="295"/>
      <c r="Q279" s="295"/>
      <c r="R279" s="295"/>
    </row>
    <row r="280" spans="2:20" x14ac:dyDescent="0.2">
      <c r="B280" s="1" t="str">
        <f>B245</f>
        <v>Inkomsten CO2-certificaten</v>
      </c>
      <c r="C280" s="1" t="s">
        <v>211</v>
      </c>
      <c r="D280" s="402">
        <f>F249</f>
        <v>15000</v>
      </c>
      <c r="E280" s="8">
        <f>D280/$D$259</f>
        <v>300</v>
      </c>
      <c r="F280" s="8">
        <f>D280/$D$260</f>
        <v>33.333333333333336</v>
      </c>
      <c r="H280" s="52" t="s">
        <v>709</v>
      </c>
    </row>
    <row r="281" spans="2:20" ht="21" x14ac:dyDescent="0.25">
      <c r="C281" s="270"/>
      <c r="D281" s="2"/>
      <c r="E281" s="2"/>
      <c r="F281" s="2"/>
      <c r="G281" s="287"/>
      <c r="H281" s="396" t="s">
        <v>710</v>
      </c>
    </row>
    <row r="282" spans="2:20" x14ac:dyDescent="0.2">
      <c r="B282" s="1" t="str">
        <f>H237</f>
        <v>Inkomsten GLB subsidies</v>
      </c>
      <c r="C282" s="1" t="s">
        <v>211</v>
      </c>
      <c r="D282" s="402">
        <f>SUM(D283:D286)</f>
        <v>12500</v>
      </c>
      <c r="E282" s="402">
        <f t="shared" ref="E282:F282" si="11">SUM(E283:E286)</f>
        <v>250</v>
      </c>
      <c r="F282" s="402">
        <f t="shared" si="11"/>
        <v>27.777777777777782</v>
      </c>
    </row>
    <row r="283" spans="2:20" x14ac:dyDescent="0.2">
      <c r="B283" t="str">
        <f>H239</f>
        <v>GLB - basisbetaling</v>
      </c>
      <c r="C283" s="270" t="s">
        <v>211</v>
      </c>
      <c r="D283" s="403">
        <f>L239</f>
        <v>10000</v>
      </c>
      <c r="E283" s="3">
        <f>D283/$D$259</f>
        <v>200</v>
      </c>
      <c r="F283" s="272">
        <f>D283/$D$260</f>
        <v>22.222222222222225</v>
      </c>
      <c r="G283" s="1"/>
      <c r="H283" s="28"/>
    </row>
    <row r="284" spans="2:20" x14ac:dyDescent="0.2">
      <c r="B284" t="str">
        <f t="shared" ref="B284:B286" si="12">H240</f>
        <v>GLB - vergroeningsbetaling</v>
      </c>
      <c r="C284" s="270" t="s">
        <v>211</v>
      </c>
      <c r="D284" s="403">
        <f t="shared" ref="D284:D286" si="13">L240</f>
        <v>2500</v>
      </c>
      <c r="E284" s="3">
        <f t="shared" ref="E284:E286" si="14">D284/$D$259</f>
        <v>50</v>
      </c>
      <c r="F284" s="272">
        <f t="shared" ref="F284:F286" si="15">D284/$D$260</f>
        <v>5.5555555555555562</v>
      </c>
    </row>
    <row r="285" spans="2:20" x14ac:dyDescent="0.2">
      <c r="B285" t="str">
        <f t="shared" si="12"/>
        <v>Concept GLB - peil -30 tot 0</v>
      </c>
      <c r="C285" s="270" t="s">
        <v>211</v>
      </c>
      <c r="D285" s="403">
        <f t="shared" si="13"/>
        <v>0</v>
      </c>
      <c r="E285" s="3">
        <f t="shared" si="14"/>
        <v>0</v>
      </c>
      <c r="F285" s="272">
        <f t="shared" si="15"/>
        <v>0</v>
      </c>
    </row>
    <row r="286" spans="2:20" x14ac:dyDescent="0.2">
      <c r="B286" t="str">
        <f t="shared" si="12"/>
        <v>Concept GLB - peil -30 tot -21</v>
      </c>
      <c r="C286" s="270" t="s">
        <v>211</v>
      </c>
      <c r="D286" s="403">
        <f t="shared" si="13"/>
        <v>0</v>
      </c>
      <c r="E286" s="3">
        <f t="shared" si="14"/>
        <v>0</v>
      </c>
      <c r="F286" s="272">
        <f t="shared" si="15"/>
        <v>0</v>
      </c>
    </row>
    <row r="287" spans="2:20" x14ac:dyDescent="0.2">
      <c r="C287" s="270"/>
      <c r="D287" s="403"/>
      <c r="E287" s="3"/>
      <c r="F287" s="272"/>
    </row>
    <row r="288" spans="2:20" x14ac:dyDescent="0.2">
      <c r="C288" s="270"/>
      <c r="D288" s="2"/>
      <c r="E288" s="2"/>
      <c r="F288" s="2"/>
    </row>
    <row r="289" spans="2:18" ht="19" x14ac:dyDescent="0.25">
      <c r="B289" s="291" t="s">
        <v>224</v>
      </c>
      <c r="C289" s="291" t="s">
        <v>211</v>
      </c>
      <c r="D289" s="292">
        <f>SUM(D304,D291,D299)</f>
        <v>728513.42017778521</v>
      </c>
      <c r="E289" s="292">
        <f>SUM(E304,E291,E299)</f>
        <v>14570.268403555705</v>
      </c>
      <c r="F289" s="292">
        <f>SUM(F304,F291,F299)</f>
        <v>1618.9187115061895</v>
      </c>
    </row>
    <row r="290" spans="2:18" x14ac:dyDescent="0.2">
      <c r="C290" s="270"/>
      <c r="D290" s="211"/>
      <c r="E290" s="211"/>
      <c r="F290" s="211"/>
    </row>
    <row r="291" spans="2:18" x14ac:dyDescent="0.2">
      <c r="B291" s="1" t="s">
        <v>3</v>
      </c>
      <c r="C291" s="1" t="s">
        <v>211</v>
      </c>
      <c r="D291" s="7">
        <f>SUM(D292:D297)</f>
        <v>379544.67017778521</v>
      </c>
      <c r="E291" s="7">
        <f>SUM(E292:E297)</f>
        <v>7590.8934035557049</v>
      </c>
      <c r="F291" s="7">
        <f>SUM(F292:F297)</f>
        <v>843.43260039507845</v>
      </c>
      <c r="G291" s="1"/>
      <c r="H291" s="1"/>
    </row>
    <row r="292" spans="2:18" x14ac:dyDescent="0.2">
      <c r="B292" t="str">
        <f t="shared" ref="B292:B297" si="16">B59</f>
        <v>Jaarlijks grondgebruik</v>
      </c>
      <c r="C292" s="270" t="s">
        <v>211</v>
      </c>
      <c r="D292" s="3">
        <f t="shared" ref="D292:D297" si="17">E59</f>
        <v>35700</v>
      </c>
      <c r="E292" s="3">
        <f>D292/$D$259</f>
        <v>714</v>
      </c>
      <c r="F292" s="3">
        <f t="shared" ref="F292:F297" si="18">D292/$D$260</f>
        <v>79.333333333333343</v>
      </c>
    </row>
    <row r="293" spans="2:18" x14ac:dyDescent="0.2">
      <c r="B293" t="str">
        <f t="shared" si="16"/>
        <v>Gewasverzorging</v>
      </c>
      <c r="C293" s="270" t="s">
        <v>211</v>
      </c>
      <c r="D293" s="3">
        <f t="shared" si="17"/>
        <v>64500</v>
      </c>
      <c r="E293" s="3">
        <f t="shared" ref="E293:E297" si="19">D293/$D$259</f>
        <v>1290</v>
      </c>
      <c r="F293" s="3">
        <f t="shared" si="18"/>
        <v>143.33333333333334</v>
      </c>
    </row>
    <row r="294" spans="2:18" x14ac:dyDescent="0.2">
      <c r="B294" t="str">
        <f t="shared" si="16"/>
        <v>Energieverbruik en water</v>
      </c>
      <c r="C294" s="270" t="s">
        <v>211</v>
      </c>
      <c r="D294" s="3">
        <f t="shared" si="17"/>
        <v>8750</v>
      </c>
      <c r="E294" s="3">
        <f t="shared" si="19"/>
        <v>175</v>
      </c>
      <c r="F294" s="3">
        <f t="shared" si="18"/>
        <v>19.444444444444446</v>
      </c>
    </row>
    <row r="295" spans="2:18" x14ac:dyDescent="0.2">
      <c r="B295" t="str">
        <f t="shared" si="16"/>
        <v>Belastingen en verzekeringen</v>
      </c>
      <c r="C295" s="270" t="s">
        <v>211</v>
      </c>
      <c r="D295" s="3">
        <f t="shared" si="17"/>
        <v>10000</v>
      </c>
      <c r="E295" s="3">
        <f t="shared" si="19"/>
        <v>200</v>
      </c>
      <c r="F295" s="3">
        <f t="shared" si="18"/>
        <v>22.222222222222225</v>
      </c>
    </row>
    <row r="296" spans="2:18" x14ac:dyDescent="0.2">
      <c r="B296" t="str">
        <f t="shared" si="16"/>
        <v>Onderhoud</v>
      </c>
      <c r="C296" s="270" t="s">
        <v>211</v>
      </c>
      <c r="D296" s="3">
        <f t="shared" si="17"/>
        <v>75000</v>
      </c>
      <c r="E296" s="3">
        <f t="shared" si="19"/>
        <v>1500</v>
      </c>
      <c r="F296" s="3">
        <f t="shared" si="18"/>
        <v>166.66666666666669</v>
      </c>
      <c r="H296" s="52"/>
    </row>
    <row r="297" spans="2:18" x14ac:dyDescent="0.2">
      <c r="B297" t="str">
        <f t="shared" si="16"/>
        <v>Afschrijving &amp; aflossing teeltinvesteringen</v>
      </c>
      <c r="C297" s="270" t="s">
        <v>211</v>
      </c>
      <c r="D297" s="3">
        <f t="shared" si="17"/>
        <v>185594.67017778524</v>
      </c>
      <c r="E297" s="3">
        <f t="shared" si="19"/>
        <v>3711.8934035557049</v>
      </c>
      <c r="F297" s="3">
        <f t="shared" si="18"/>
        <v>412.4326003950784</v>
      </c>
    </row>
    <row r="298" spans="2:18" x14ac:dyDescent="0.2">
      <c r="C298" s="270"/>
      <c r="D298" s="3"/>
      <c r="E298" s="3"/>
      <c r="F298" s="3"/>
    </row>
    <row r="299" spans="2:18" s="28" customFormat="1" ht="19" x14ac:dyDescent="0.25">
      <c r="B299" s="1" t="s">
        <v>94</v>
      </c>
      <c r="C299" s="1" t="s">
        <v>211</v>
      </c>
      <c r="D299" s="8">
        <f>SUM(D300:D302)</f>
        <v>348968.75</v>
      </c>
      <c r="E299" s="8">
        <f>SUM(E300:E302)</f>
        <v>6979.375</v>
      </c>
      <c r="F299" s="8">
        <f>SUM(F300:F302)</f>
        <v>775.4861111111112</v>
      </c>
      <c r="G299" s="285"/>
      <c r="H299" s="285"/>
      <c r="K299" s="175"/>
      <c r="N299"/>
      <c r="O299"/>
      <c r="P299"/>
      <c r="Q299"/>
      <c r="R299"/>
    </row>
    <row r="300" spans="2:18" x14ac:dyDescent="0.2">
      <c r="B300" t="s">
        <v>4</v>
      </c>
      <c r="C300" s="270" t="s">
        <v>211</v>
      </c>
      <c r="D300" s="3">
        <f>SUM(E114,E116)</f>
        <v>135500</v>
      </c>
      <c r="E300" s="3">
        <f>D300/$D$259</f>
        <v>2710</v>
      </c>
      <c r="F300" s="3">
        <f>D300/$D$260</f>
        <v>301.11111111111114</v>
      </c>
    </row>
    <row r="301" spans="2:18" x14ac:dyDescent="0.2">
      <c r="B301" t="s">
        <v>5</v>
      </c>
      <c r="C301" s="270" t="s">
        <v>211</v>
      </c>
      <c r="D301" s="3">
        <f>SUM(E115,E117)</f>
        <v>6768.7499999999991</v>
      </c>
      <c r="E301" s="3">
        <f t="shared" ref="E301:E302" si="20">D301/$D$259</f>
        <v>135.37499999999997</v>
      </c>
      <c r="F301" s="3">
        <f>D301/$D$260</f>
        <v>15.041666666666666</v>
      </c>
    </row>
    <row r="302" spans="2:18" x14ac:dyDescent="0.2">
      <c r="B302" t="str">
        <f>B118</f>
        <v>Voordroogkosten</v>
      </c>
      <c r="C302" s="270" t="s">
        <v>211</v>
      </c>
      <c r="D302" s="3">
        <f>E118</f>
        <v>206700</v>
      </c>
      <c r="E302" s="3">
        <f t="shared" si="20"/>
        <v>4134</v>
      </c>
      <c r="F302" s="3">
        <f>D302/$D$260</f>
        <v>459.33333333333337</v>
      </c>
      <c r="N302" s="28"/>
      <c r="O302" s="28"/>
      <c r="P302" s="28"/>
      <c r="Q302" s="28"/>
      <c r="R302" s="28"/>
    </row>
    <row r="303" spans="2:18" x14ac:dyDescent="0.2">
      <c r="C303" s="270"/>
      <c r="D303" s="3"/>
      <c r="E303" s="3"/>
      <c r="F303" s="3"/>
    </row>
    <row r="304" spans="2:18" x14ac:dyDescent="0.2">
      <c r="B304" s="52" t="s">
        <v>225</v>
      </c>
      <c r="C304" s="270" t="s">
        <v>211</v>
      </c>
      <c r="D304" s="93"/>
      <c r="E304" s="93"/>
      <c r="F304" s="93"/>
    </row>
    <row r="305" spans="2:8" x14ac:dyDescent="0.2">
      <c r="B305" s="284"/>
      <c r="C305" s="270"/>
      <c r="H305" s="293"/>
    </row>
    <row r="306" spans="2:8" x14ac:dyDescent="0.2">
      <c r="B306" s="284"/>
      <c r="C306" s="270"/>
      <c r="H306" s="28"/>
    </row>
    <row r="307" spans="2:8" ht="19" x14ac:dyDescent="0.25">
      <c r="B307" s="291" t="s">
        <v>226</v>
      </c>
      <c r="C307" s="291" t="s">
        <v>211</v>
      </c>
      <c r="D307" s="292">
        <f>D262-D289</f>
        <v>-547082.9390489076</v>
      </c>
      <c r="E307" s="292">
        <f>E262-E289</f>
        <v>-10941.658780978152</v>
      </c>
      <c r="F307" s="292">
        <f>F262-F289</f>
        <v>-1215.739864553128</v>
      </c>
      <c r="H307" s="28"/>
    </row>
    <row r="308" spans="2:8" ht="19" x14ac:dyDescent="0.25">
      <c r="B308" s="410"/>
      <c r="C308" s="410"/>
      <c r="D308" s="411">
        <f>D307/D262</f>
        <v>-3.0153860346117463</v>
      </c>
      <c r="E308" s="411">
        <f t="shared" ref="E308:F308" si="21">E307/E262</f>
        <v>-3.0153860346117454</v>
      </c>
      <c r="F308" s="412">
        <f t="shared" si="21"/>
        <v>-3.0153860346117458</v>
      </c>
      <c r="H308" s="28"/>
    </row>
    <row r="309" spans="2:8" x14ac:dyDescent="0.2">
      <c r="C309" s="270"/>
      <c r="D309" s="3"/>
      <c r="E309" s="3"/>
      <c r="F309" s="3"/>
      <c r="H309" s="28"/>
    </row>
    <row r="310" spans="2:8" x14ac:dyDescent="0.2">
      <c r="B310" s="1" t="s">
        <v>227</v>
      </c>
      <c r="C310" s="1" t="s">
        <v>211</v>
      </c>
      <c r="D310" s="8">
        <f>D264-D289</f>
        <v>-580832.9390489076</v>
      </c>
      <c r="E310" s="8">
        <f>E264-E289</f>
        <v>-11616.658780978152</v>
      </c>
      <c r="F310" s="8">
        <f>F264-F289</f>
        <v>-1290.739864553128</v>
      </c>
      <c r="H310" s="28"/>
    </row>
    <row r="311" spans="2:8" x14ac:dyDescent="0.2">
      <c r="B311" s="52" t="s">
        <v>751</v>
      </c>
      <c r="C311" s="270"/>
      <c r="D311" s="413">
        <f>D310/D264</f>
        <v>-3.9330379655387699</v>
      </c>
      <c r="E311" s="413">
        <f t="shared" ref="E311:F311" si="22">E310/E264</f>
        <v>-3.9330379655387686</v>
      </c>
      <c r="F311" s="413">
        <f t="shared" si="22"/>
        <v>-3.9330379655387695</v>
      </c>
      <c r="H311" s="28"/>
    </row>
    <row r="312" spans="2:8" x14ac:dyDescent="0.2">
      <c r="C312" s="270"/>
      <c r="D312" s="3"/>
      <c r="E312" s="3"/>
      <c r="F312" s="3"/>
      <c r="H312" s="28"/>
    </row>
    <row r="313" spans="2:8" x14ac:dyDescent="0.2">
      <c r="B313" s="1" t="s">
        <v>228</v>
      </c>
      <c r="C313" s="1" t="s">
        <v>211</v>
      </c>
      <c r="D313" s="7">
        <f>D264+D283+D284-D289</f>
        <v>-568332.9390489076</v>
      </c>
      <c r="E313" s="7">
        <f>E264+E283+E284-E289</f>
        <v>-11366.658780978152</v>
      </c>
      <c r="F313" s="7">
        <f>F264+F283+F284-F289</f>
        <v>-1262.9620867753504</v>
      </c>
      <c r="H313" s="28"/>
    </row>
    <row r="314" spans="2:8" x14ac:dyDescent="0.2">
      <c r="B314" s="52" t="s">
        <v>743</v>
      </c>
      <c r="D314" s="413">
        <f>D313/(D264+D283+D284)</f>
        <v>-3.5480786113486551</v>
      </c>
      <c r="E314" s="413">
        <f t="shared" ref="E314:F314" si="23">E313/(E264+E283+E284)</f>
        <v>-3.5480786113486542</v>
      </c>
      <c r="F314" s="413">
        <f t="shared" si="23"/>
        <v>-3.5480786113486551</v>
      </c>
      <c r="H314" s="28"/>
    </row>
    <row r="315" spans="2:8" x14ac:dyDescent="0.2">
      <c r="H315" s="28"/>
    </row>
    <row r="316" spans="2:8" x14ac:dyDescent="0.2">
      <c r="B316" s="1" t="s">
        <v>745</v>
      </c>
      <c r="C316" s="1" t="s">
        <v>211</v>
      </c>
      <c r="D316" s="7">
        <f>D264+D272+D283+D284-D289</f>
        <v>-562082.9390489076</v>
      </c>
      <c r="E316" s="7">
        <f>E264+E272+E283+E284-E289</f>
        <v>-11241.658780978152</v>
      </c>
      <c r="F316" s="7">
        <f>F264+F272+F283+F284-F289</f>
        <v>-1249.0731978864615</v>
      </c>
      <c r="H316" s="28"/>
    </row>
    <row r="317" spans="2:8" x14ac:dyDescent="0.2">
      <c r="B317" s="52" t="s">
        <v>744</v>
      </c>
      <c r="D317" s="413">
        <f>D316/(D264+D283+D284+D272)</f>
        <v>-3.3772836275925395</v>
      </c>
      <c r="E317" s="413">
        <f t="shared" ref="E317:F317" si="24">E316/(E264+E283+E284+E272)</f>
        <v>-3.3772836275925391</v>
      </c>
      <c r="F317" s="413">
        <f t="shared" si="24"/>
        <v>-3.3772836275925395</v>
      </c>
    </row>
    <row r="318" spans="2:8" x14ac:dyDescent="0.2">
      <c r="H318" s="28"/>
    </row>
    <row r="319" spans="2:8" x14ac:dyDescent="0.2">
      <c r="B319" s="1" t="s">
        <v>746</v>
      </c>
      <c r="C319" s="1" t="s">
        <v>211</v>
      </c>
      <c r="D319" s="7">
        <f>D264+D272+D280+D283+D284-D289</f>
        <v>-547082.9390489076</v>
      </c>
      <c r="E319" s="7">
        <f t="shared" ref="E319:F319" si="25">E264+E272+E280+E283+E284-E289</f>
        <v>-10941.658780978152</v>
      </c>
      <c r="F319" s="7">
        <f t="shared" si="25"/>
        <v>-1215.739864553128</v>
      </c>
      <c r="H319" s="28"/>
    </row>
    <row r="320" spans="2:8" x14ac:dyDescent="0.2">
      <c r="B320" s="52" t="s">
        <v>221</v>
      </c>
      <c r="D320" s="413">
        <f>D319/(D264+D283+D284+D272+D280)</f>
        <v>-3.0153860346117463</v>
      </c>
      <c r="E320" s="413">
        <f t="shared" ref="E320:F320" si="26">E319/(E264+E283+E284+E272+E280)</f>
        <v>-3.0153860346117454</v>
      </c>
      <c r="F320" s="413">
        <f t="shared" si="26"/>
        <v>-3.0153860346117458</v>
      </c>
    </row>
    <row r="323" spans="2:8" ht="19" x14ac:dyDescent="0.25">
      <c r="B323" s="291" t="s">
        <v>229</v>
      </c>
      <c r="C323" s="291"/>
      <c r="D323" s="291"/>
      <c r="E323" s="291"/>
      <c r="F323" s="291"/>
    </row>
    <row r="324" spans="2:8" x14ac:dyDescent="0.2">
      <c r="B324" s="38"/>
    </row>
    <row r="325" spans="2:8" x14ac:dyDescent="0.2">
      <c r="B325" s="269" t="s">
        <v>231</v>
      </c>
    </row>
    <row r="326" spans="2:8" x14ac:dyDescent="0.2">
      <c r="B326" s="52" t="s">
        <v>757</v>
      </c>
    </row>
    <row r="327" spans="2:8" x14ac:dyDescent="0.2">
      <c r="B327" s="269"/>
    </row>
    <row r="328" spans="2:8" x14ac:dyDescent="0.2">
      <c r="B328" t="s">
        <v>756</v>
      </c>
      <c r="C328" t="s">
        <v>232</v>
      </c>
      <c r="F328" s="407">
        <f>D289/D260</f>
        <v>1618.9187115061895</v>
      </c>
    </row>
    <row r="329" spans="2:8" x14ac:dyDescent="0.2">
      <c r="C329" s="52"/>
    </row>
    <row r="330" spans="2:8" x14ac:dyDescent="0.2">
      <c r="B330" t="s">
        <v>765</v>
      </c>
      <c r="C330" t="s">
        <v>232</v>
      </c>
      <c r="F330" s="407">
        <f>(D289+P259)/D260</f>
        <v>1733.122647105474</v>
      </c>
    </row>
    <row r="331" spans="2:8" x14ac:dyDescent="0.2">
      <c r="B331" s="52"/>
      <c r="C331" s="52"/>
    </row>
    <row r="332" spans="2:8" x14ac:dyDescent="0.2">
      <c r="B332" s="297" t="s">
        <v>766</v>
      </c>
    </row>
    <row r="333" spans="2:8" x14ac:dyDescent="0.2">
      <c r="B333" s="296" t="s">
        <v>758</v>
      </c>
    </row>
    <row r="334" spans="2:8" x14ac:dyDescent="0.2">
      <c r="B334" s="296"/>
    </row>
    <row r="335" spans="2:8" x14ac:dyDescent="0.2">
      <c r="B335" t="s">
        <v>754</v>
      </c>
      <c r="C335" t="s">
        <v>30</v>
      </c>
      <c r="D335" s="406">
        <f>D289/E264</f>
        <v>246.65189827693843</v>
      </c>
      <c r="E335" s="405">
        <f>E289/E264</f>
        <v>4.9330379655387686</v>
      </c>
    </row>
    <row r="336" spans="2:8" x14ac:dyDescent="0.2">
      <c r="H336" s="28"/>
    </row>
    <row r="337" spans="2:8" x14ac:dyDescent="0.2">
      <c r="B337" s="177" t="s">
        <v>230</v>
      </c>
      <c r="C337" t="s">
        <v>30</v>
      </c>
      <c r="D337" s="406">
        <f>D289/(E264+E283+E284)</f>
        <v>227.40393056743267</v>
      </c>
      <c r="E337" s="405">
        <f>E289/(E264+E283+E284)</f>
        <v>4.5480786113486538</v>
      </c>
    </row>
    <row r="338" spans="2:8" x14ac:dyDescent="0.2">
      <c r="B338" s="177"/>
      <c r="D338" s="406"/>
      <c r="E338" s="405"/>
    </row>
    <row r="339" spans="2:8" x14ac:dyDescent="0.2">
      <c r="B339" s="270" t="s">
        <v>760</v>
      </c>
      <c r="C339" t="s">
        <v>30</v>
      </c>
      <c r="D339" s="406">
        <f>D289/(E264+E283+E284+E272)</f>
        <v>218.86418137962693</v>
      </c>
      <c r="E339" s="405">
        <f>E289/(E264+E283+E284+E272)</f>
        <v>4.3772836275925391</v>
      </c>
    </row>
    <row r="340" spans="2:8" x14ac:dyDescent="0.2">
      <c r="B340" s="177"/>
      <c r="D340" s="406"/>
      <c r="E340" s="405"/>
    </row>
    <row r="341" spans="2:8" x14ac:dyDescent="0.2">
      <c r="B341" s="270" t="s">
        <v>761</v>
      </c>
      <c r="C341" t="s">
        <v>30</v>
      </c>
      <c r="D341" s="406">
        <f>D289/(E264+E283+E284+E272+E280)</f>
        <v>200.76930173058724</v>
      </c>
      <c r="E341" s="405">
        <f>E289/(E264+E283+E284+E272+E280)</f>
        <v>4.0153860346117449</v>
      </c>
    </row>
    <row r="342" spans="2:8" x14ac:dyDescent="0.2">
      <c r="B342" s="177"/>
      <c r="D342" s="406"/>
      <c r="E342" s="405"/>
    </row>
    <row r="343" spans="2:8" x14ac:dyDescent="0.2">
      <c r="B343" s="38" t="s">
        <v>762</v>
      </c>
      <c r="C343" t="s">
        <v>30</v>
      </c>
      <c r="D343" s="406">
        <f>D289/E262</f>
        <v>200.76930173058724</v>
      </c>
      <c r="E343" s="405">
        <f>E289/E262</f>
        <v>4.0153860346117449</v>
      </c>
    </row>
    <row r="344" spans="2:8" x14ac:dyDescent="0.2">
      <c r="B344" s="177"/>
      <c r="D344" s="406"/>
      <c r="E344" s="405"/>
    </row>
    <row r="345" spans="2:8" x14ac:dyDescent="0.2">
      <c r="B345" s="297" t="s">
        <v>767</v>
      </c>
    </row>
    <row r="346" spans="2:8" x14ac:dyDescent="0.2">
      <c r="B346" s="296" t="s">
        <v>758</v>
      </c>
    </row>
    <row r="347" spans="2:8" x14ac:dyDescent="0.2">
      <c r="B347" s="296"/>
    </row>
    <row r="348" spans="2:8" x14ac:dyDescent="0.2">
      <c r="B348" t="s">
        <v>754</v>
      </c>
      <c r="C348" t="s">
        <v>30</v>
      </c>
      <c r="D348" s="406">
        <f>(D289+P259)/E264</f>
        <v>264.05154737979768</v>
      </c>
      <c r="E348" s="405">
        <f>(E289+Q259)/E264</f>
        <v>5.2810309475959532</v>
      </c>
    </row>
    <row r="349" spans="2:8" x14ac:dyDescent="0.2">
      <c r="H349" s="28"/>
    </row>
    <row r="350" spans="2:8" x14ac:dyDescent="0.2">
      <c r="B350" s="177" t="s">
        <v>230</v>
      </c>
      <c r="C350" t="s">
        <v>30</v>
      </c>
      <c r="D350" s="406">
        <f>(D289+P259)/(E264+E283+E284)</f>
        <v>243.44576371011419</v>
      </c>
      <c r="E350" s="405">
        <f>(E289+Q259)/(E264+E283+E284)</f>
        <v>4.8689152742022834</v>
      </c>
    </row>
    <row r="351" spans="2:8" x14ac:dyDescent="0.2">
      <c r="B351" s="177"/>
      <c r="D351" s="406"/>
      <c r="E351" s="405"/>
    </row>
    <row r="352" spans="2:8" x14ac:dyDescent="0.2">
      <c r="B352" s="270" t="s">
        <v>760</v>
      </c>
      <c r="C352" t="s">
        <v>30</v>
      </c>
      <c r="D352" s="406">
        <f>(D289+P259)/(E264+E283+E284+E272)</f>
        <v>234.30359207864487</v>
      </c>
      <c r="E352" s="405">
        <f>(E289+Q259)/(E264+E283+E284+E272)</f>
        <v>4.6860718415728977</v>
      </c>
    </row>
    <row r="353" spans="2:8" x14ac:dyDescent="0.2">
      <c r="B353" s="177"/>
      <c r="D353" s="406"/>
      <c r="E353" s="405"/>
    </row>
    <row r="354" spans="2:8" x14ac:dyDescent="0.2">
      <c r="B354" s="270" t="s">
        <v>761</v>
      </c>
      <c r="C354" t="s">
        <v>30</v>
      </c>
      <c r="D354" s="406">
        <f>(D289+P259)/(E264+E283+E284+E272+E280)</f>
        <v>214.93223915430832</v>
      </c>
      <c r="E354" s="405">
        <f>(E289+Q259)/(E264+E283+E284+E272+E280)</f>
        <v>4.2986447830861669</v>
      </c>
    </row>
    <row r="355" spans="2:8" x14ac:dyDescent="0.2">
      <c r="B355" s="177"/>
      <c r="D355" s="406"/>
      <c r="E355" s="405"/>
    </row>
    <row r="356" spans="2:8" x14ac:dyDescent="0.2">
      <c r="B356" s="38" t="s">
        <v>762</v>
      </c>
      <c r="C356" t="s">
        <v>30</v>
      </c>
      <c r="D356" s="406">
        <f>(D289+P259)/E262</f>
        <v>214.93223915430832</v>
      </c>
      <c r="E356" s="405">
        <f>(E289+Q259)/E262</f>
        <v>4.2986447830861669</v>
      </c>
    </row>
    <row r="357" spans="2:8" x14ac:dyDescent="0.2">
      <c r="B357" s="177"/>
      <c r="D357" s="406"/>
      <c r="E357" s="405"/>
    </row>
    <row r="358" spans="2:8" x14ac:dyDescent="0.2">
      <c r="B358" s="269" t="s">
        <v>768</v>
      </c>
    </row>
    <row r="359" spans="2:8" x14ac:dyDescent="0.2">
      <c r="B359" s="52" t="s">
        <v>759</v>
      </c>
    </row>
    <row r="361" spans="2:8" x14ac:dyDescent="0.2">
      <c r="B361" t="s">
        <v>754</v>
      </c>
      <c r="C361" t="s">
        <v>81</v>
      </c>
      <c r="D361" s="407">
        <f>D$289/$F$264</f>
        <v>2219.8670844924463</v>
      </c>
      <c r="E361" s="406">
        <f>E$289/$F$264</f>
        <v>44.397341689848922</v>
      </c>
      <c r="F361" s="405">
        <f>F$289/$F$264</f>
        <v>4.9330379655387695</v>
      </c>
      <c r="H361" s="28"/>
    </row>
    <row r="362" spans="2:8" x14ac:dyDescent="0.2">
      <c r="B362" s="52"/>
    </row>
    <row r="363" spans="2:8" x14ac:dyDescent="0.2">
      <c r="B363" s="177" t="s">
        <v>230</v>
      </c>
      <c r="C363" t="s">
        <v>81</v>
      </c>
      <c r="D363" s="407">
        <f>D$289/($F$264+$F$283+$F$284)</f>
        <v>2046.6353751068946</v>
      </c>
      <c r="E363" s="406">
        <f>E$289/($F$264+$F$283+$F$284)</f>
        <v>40.932707502137895</v>
      </c>
      <c r="F363" s="405">
        <f>F$289/($F$264+$F$283+$F$284)</f>
        <v>4.5480786113486547</v>
      </c>
      <c r="H363" s="28"/>
    </row>
    <row r="364" spans="2:8" x14ac:dyDescent="0.2">
      <c r="B364" s="296"/>
      <c r="H364" s="28"/>
    </row>
    <row r="365" spans="2:8" x14ac:dyDescent="0.2">
      <c r="B365" s="270" t="s">
        <v>760</v>
      </c>
      <c r="C365" t="s">
        <v>81</v>
      </c>
      <c r="D365" s="407">
        <f>D$289/($F$264+$F$283+$F$284+$F$272)</f>
        <v>1969.7776324166425</v>
      </c>
      <c r="E365" s="406">
        <f>E$289/($F$264+$F$283+$F$284+$F$272)</f>
        <v>39.395552648332853</v>
      </c>
      <c r="F365" s="405">
        <f>F$289/($F$264+$F$283+$F$284+$F$272)</f>
        <v>4.3772836275925391</v>
      </c>
      <c r="H365" s="28"/>
    </row>
    <row r="366" spans="2:8" x14ac:dyDescent="0.2">
      <c r="B366" s="177"/>
    </row>
    <row r="367" spans="2:8" x14ac:dyDescent="0.2">
      <c r="B367" s="270" t="s">
        <v>761</v>
      </c>
      <c r="C367" t="s">
        <v>81</v>
      </c>
      <c r="D367" s="407">
        <f>D$289/($F$264+$F$283+$F$284+$F$272+$F$280)</f>
        <v>1806.9237155752855</v>
      </c>
      <c r="E367" s="406">
        <f>E$289/($F$264+$F$283+$F$284+$F$272+$F$280)</f>
        <v>36.138474311505711</v>
      </c>
      <c r="F367" s="405">
        <f>F$289/($F$264+$F$283+$F$284+$F$272+$F$280)</f>
        <v>4.0153860346117458</v>
      </c>
    </row>
    <row r="368" spans="2:8" x14ac:dyDescent="0.2">
      <c r="B368" s="177"/>
    </row>
    <row r="369" spans="2:8" x14ac:dyDescent="0.2">
      <c r="B369" s="38" t="s">
        <v>762</v>
      </c>
      <c r="C369" t="s">
        <v>81</v>
      </c>
      <c r="D369" s="407">
        <f>D$289/$F$262</f>
        <v>1806.9237155752855</v>
      </c>
      <c r="E369" s="406">
        <f>E$289/$F$262</f>
        <v>36.138474311505711</v>
      </c>
      <c r="F369" s="405">
        <f>F$289/$F$262</f>
        <v>4.0153860346117458</v>
      </c>
    </row>
    <row r="371" spans="2:8" x14ac:dyDescent="0.2">
      <c r="B371" s="269" t="s">
        <v>769</v>
      </c>
    </row>
    <row r="372" spans="2:8" x14ac:dyDescent="0.2">
      <c r="B372" s="52" t="s">
        <v>759</v>
      </c>
    </row>
    <row r="374" spans="2:8" x14ac:dyDescent="0.2">
      <c r="B374" t="s">
        <v>754</v>
      </c>
      <c r="C374" t="s">
        <v>81</v>
      </c>
      <c r="D374" s="407">
        <f>(D$289+$P$259)/$F$264</f>
        <v>2376.4639264181792</v>
      </c>
      <c r="E374" s="406">
        <f>(E$289+$Q$259)/$F$264</f>
        <v>47.529278528363591</v>
      </c>
      <c r="F374" s="405">
        <f>(F$289+$R$259)/$F$264</f>
        <v>5.2810309475959549</v>
      </c>
      <c r="H374" s="6"/>
    </row>
    <row r="375" spans="2:8" x14ac:dyDescent="0.2">
      <c r="B375" s="52"/>
      <c r="G375" s="212"/>
      <c r="H375" s="212"/>
    </row>
    <row r="376" spans="2:8" ht="17" x14ac:dyDescent="0.2">
      <c r="B376" s="177" t="s">
        <v>230</v>
      </c>
      <c r="C376" t="s">
        <v>81</v>
      </c>
      <c r="D376" s="407">
        <f>(D$289+$P$259)/($F$264+$F$283+$F$284)</f>
        <v>2191.0118733910281</v>
      </c>
      <c r="E376" s="406">
        <f>(E$289+$Q$259)/($F$264+$F$283+$F$284)</f>
        <v>43.820237467820562</v>
      </c>
      <c r="F376" s="405">
        <f>(F$289+$R$259)/($F$264+$F$283+$F$284)</f>
        <v>4.8689152742022852</v>
      </c>
      <c r="G376" s="210"/>
      <c r="H376" s="210"/>
    </row>
    <row r="377" spans="2:8" ht="17" x14ac:dyDescent="0.2">
      <c r="B377" s="296"/>
      <c r="G377" s="210"/>
      <c r="H377" s="210"/>
    </row>
    <row r="378" spans="2:8" ht="17" x14ac:dyDescent="0.2">
      <c r="B378" s="270" t="s">
        <v>760</v>
      </c>
      <c r="C378" t="s">
        <v>81</v>
      </c>
      <c r="D378" s="407">
        <f>(D$289+$P$259)/($F$264+$F$283+$F$284+$F$272)</f>
        <v>2108.7323287078043</v>
      </c>
      <c r="E378" s="406">
        <f>(E$289+$Q$259)/($F$264+$F$283+$F$284+$F$272)</f>
        <v>42.174646574156085</v>
      </c>
      <c r="F378" s="405">
        <f>(F$289+$R$259)/($F$264+$F$283+$F$284+$F$272)</f>
        <v>4.6860718415728986</v>
      </c>
      <c r="G378" s="210"/>
      <c r="H378" s="210"/>
    </row>
    <row r="379" spans="2:8" ht="17" x14ac:dyDescent="0.2">
      <c r="B379" s="177"/>
      <c r="G379" s="210"/>
      <c r="H379" s="210"/>
    </row>
    <row r="380" spans="2:8" x14ac:dyDescent="0.2">
      <c r="B380" s="270" t="s">
        <v>761</v>
      </c>
      <c r="C380" t="s">
        <v>81</v>
      </c>
      <c r="D380" s="407">
        <f>(D$289+$P$259)/($F$264+$F$283+$F$284+$F$272+$F$280)</f>
        <v>1934.390152388775</v>
      </c>
      <c r="E380" s="406">
        <f>(E$289+$Q$259)/($F$264+$F$283+$F$284+$F$272+$F$280)</f>
        <v>38.687803047775503</v>
      </c>
      <c r="F380" s="405">
        <f>(F$289+$R$259)/($F$264+$F$283+$F$284+$F$272+$F$280)</f>
        <v>4.2986447830861678</v>
      </c>
    </row>
    <row r="381" spans="2:8" x14ac:dyDescent="0.2">
      <c r="B381" s="177"/>
    </row>
    <row r="382" spans="2:8" x14ac:dyDescent="0.2">
      <c r="B382" s="38" t="s">
        <v>762</v>
      </c>
      <c r="C382" t="s">
        <v>81</v>
      </c>
      <c r="D382" s="407">
        <f>(D$289+$P$259)/$F$262</f>
        <v>1934.390152388775</v>
      </c>
      <c r="E382" s="406">
        <f>(E$289+$Q$259)/$F$262</f>
        <v>38.687803047775503</v>
      </c>
      <c r="F382" s="405">
        <f>(F$289+$R$259)/$F$262</f>
        <v>4.2986447830861678</v>
      </c>
    </row>
    <row r="384" spans="2:8" x14ac:dyDescent="0.2">
      <c r="B384" s="269" t="s">
        <v>974</v>
      </c>
    </row>
    <row r="385" spans="2:8" x14ac:dyDescent="0.2">
      <c r="B385" s="296"/>
      <c r="H385" s="28"/>
    </row>
    <row r="386" spans="2:8" x14ac:dyDescent="0.2">
      <c r="B386" t="s">
        <v>973</v>
      </c>
      <c r="C386" t="s">
        <v>124</v>
      </c>
      <c r="D386" s="294">
        <f>D289+P259</f>
        <v>779905.19119746319</v>
      </c>
      <c r="E386" s="294">
        <f t="shared" ref="E386:F386" si="27">E289+Q259</f>
        <v>15598.103823949265</v>
      </c>
      <c r="F386" s="294">
        <f t="shared" si="27"/>
        <v>1733.122647105474</v>
      </c>
      <c r="H386" s="28"/>
    </row>
    <row r="387" spans="2:8" x14ac:dyDescent="0.2">
      <c r="H387" s="28"/>
    </row>
    <row r="388" spans="2:8" x14ac:dyDescent="0.2">
      <c r="B388" s="52"/>
    </row>
    <row r="391" spans="2:8" x14ac:dyDescent="0.2">
      <c r="B391" s="52"/>
      <c r="C391" s="52"/>
    </row>
    <row r="393" spans="2:8" x14ac:dyDescent="0.2">
      <c r="B393" s="297"/>
    </row>
    <row r="394" spans="2:8" x14ac:dyDescent="0.2">
      <c r="B394" s="295"/>
    </row>
    <row r="396" spans="2:8" x14ac:dyDescent="0.2">
      <c r="B396" s="296"/>
    </row>
    <row r="399" spans="2:8" x14ac:dyDescent="0.2">
      <c r="B399" s="52"/>
    </row>
    <row r="402" spans="2:3" x14ac:dyDescent="0.2">
      <c r="B402" s="52"/>
      <c r="C402" s="52"/>
    </row>
  </sheetData>
  <mergeCells count="15">
    <mergeCell ref="D13:R13"/>
    <mergeCell ref="D16:R16"/>
    <mergeCell ref="D20:R20"/>
    <mergeCell ref="D24:R24"/>
    <mergeCell ref="D26:R26"/>
    <mergeCell ref="C113:D113"/>
    <mergeCell ref="E113:F113"/>
    <mergeCell ref="D22:R22"/>
    <mergeCell ref="C58:D58"/>
    <mergeCell ref="E58:F58"/>
    <mergeCell ref="C67:D67"/>
    <mergeCell ref="E67:F67"/>
    <mergeCell ref="C109:D109"/>
    <mergeCell ref="E109:F109"/>
    <mergeCell ref="D28:R28"/>
  </mergeCells>
  <conditionalFormatting sqref="D162">
    <cfRule type="cellIs" dxfId="99" priority="8" operator="equal">
      <formula>$C$162</formula>
    </cfRule>
    <cfRule type="cellIs" dxfId="98" priority="9" operator="greaterThan">
      <formula>$C$162</formula>
    </cfRule>
    <cfRule type="cellIs" dxfId="97" priority="29" operator="lessThan">
      <formula>$C$162</formula>
    </cfRule>
  </conditionalFormatting>
  <conditionalFormatting sqref="N186:R199">
    <cfRule type="expression" dxfId="96" priority="47">
      <formula>$O$184="Nee"</formula>
    </cfRule>
  </conditionalFormatting>
  <conditionalFormatting sqref="N202:R212 N201 P201:R201">
    <cfRule type="expression" dxfId="95" priority="46">
      <formula>$O$201="Nee"</formula>
    </cfRule>
  </conditionalFormatting>
  <conditionalFormatting sqref="N215:R225 N214 P214:R214">
    <cfRule type="expression" dxfId="94" priority="45">
      <formula>$O$214="Nee"</formula>
    </cfRule>
  </conditionalFormatting>
  <conditionalFormatting sqref="Y181">
    <cfRule type="cellIs" dxfId="93" priority="48" operator="greaterThan">
      <formula>$O$191</formula>
    </cfRule>
  </conditionalFormatting>
  <conditionalFormatting sqref="K181">
    <cfRule type="cellIs" dxfId="92" priority="42" operator="greaterThan">
      <formula>$K$162</formula>
    </cfRule>
    <cfRule type="cellIs" dxfId="91" priority="43" operator="equal">
      <formula>$K$162</formula>
    </cfRule>
    <cfRule type="cellIs" dxfId="90" priority="44" operator="lessThan">
      <formula>$K$162</formula>
    </cfRule>
  </conditionalFormatting>
  <conditionalFormatting sqref="H186:L199">
    <cfRule type="expression" dxfId="89" priority="41">
      <formula>$I$184="Nee"</formula>
    </cfRule>
  </conditionalFormatting>
  <conditionalFormatting sqref="H202:L212 H201 J201:L201">
    <cfRule type="expression" dxfId="88" priority="40">
      <formula>$I$201="Nee"</formula>
    </cfRule>
  </conditionalFormatting>
  <conditionalFormatting sqref="H215:L225 H214 J214:L214">
    <cfRule type="expression" dxfId="87" priority="39">
      <formula>$I$214="Nee"</formula>
    </cfRule>
  </conditionalFormatting>
  <conditionalFormatting sqref="T186:X199">
    <cfRule type="expression" dxfId="86" priority="38">
      <formula>$U$184="Nee"</formula>
    </cfRule>
  </conditionalFormatting>
  <conditionalFormatting sqref="T202:X212 T201 V201:X201">
    <cfRule type="expression" dxfId="85" priority="37">
      <formula>$U$201="Nee"</formula>
    </cfRule>
  </conditionalFormatting>
  <conditionalFormatting sqref="T215:X225 T214 V214:X214">
    <cfRule type="expression" dxfId="84" priority="36">
      <formula>$U$214="Nee"</formula>
    </cfRule>
  </conditionalFormatting>
  <conditionalFormatting sqref="Z186:AD199">
    <cfRule type="expression" dxfId="83" priority="35">
      <formula>$AA$184="Nee"</formula>
    </cfRule>
  </conditionalFormatting>
  <conditionalFormatting sqref="Z202:AD212 Z201 AB201:AD201">
    <cfRule type="expression" dxfId="82" priority="34">
      <formula>$AA$201="Nee"</formula>
    </cfRule>
  </conditionalFormatting>
  <conditionalFormatting sqref="Z215:AD225 Z214 AB214:AD214">
    <cfRule type="expression" dxfId="81" priority="33">
      <formula>$AA$214="Nee"</formula>
    </cfRule>
  </conditionalFormatting>
  <conditionalFormatting sqref="AF186:AJ199">
    <cfRule type="expression" dxfId="80" priority="32">
      <formula>$AG$184="Nee"</formula>
    </cfRule>
  </conditionalFormatting>
  <conditionalFormatting sqref="AF202:AJ212 AF201 AH201:AJ201">
    <cfRule type="expression" dxfId="79" priority="31">
      <formula>$AG$201="Nee"</formula>
    </cfRule>
  </conditionalFormatting>
  <conditionalFormatting sqref="AF215:AJ225 AF214 AH214:AJ214">
    <cfRule type="expression" dxfId="78" priority="30">
      <formula>$AG$214="Nee"</formula>
    </cfRule>
  </conditionalFormatting>
  <conditionalFormatting sqref="N109:N153 P109:R153 O111:O153">
    <cfRule type="expression" dxfId="77" priority="28">
      <formula>$O$109="Nee"</formula>
    </cfRule>
  </conditionalFormatting>
  <conditionalFormatting sqref="J223">
    <cfRule type="expression" dxfId="76" priority="25">
      <formula>$I$214="Nee"</formula>
    </cfRule>
  </conditionalFormatting>
  <conditionalFormatting sqref="K223">
    <cfRule type="expression" dxfId="75" priority="24">
      <formula>$I$201="Nee"</formula>
    </cfRule>
  </conditionalFormatting>
  <conditionalFormatting sqref="D163">
    <cfRule type="cellIs" dxfId="74" priority="6" operator="equal">
      <formula>$C$163</formula>
    </cfRule>
    <cfRule type="cellIs" dxfId="73" priority="7" operator="lessThan">
      <formula>$C$163</formula>
    </cfRule>
    <cfRule type="cellIs" dxfId="72" priority="23" operator="greaterThan">
      <formula>$C$163</formula>
    </cfRule>
  </conditionalFormatting>
  <conditionalFormatting sqref="D161">
    <cfRule type="cellIs" dxfId="71" priority="10" operator="lessThan">
      <formula>$C$161</formula>
    </cfRule>
    <cfRule type="cellIs" dxfId="70" priority="49" operator="greaterThan">
      <formula>$C$161</formula>
    </cfRule>
    <cfRule type="cellIs" dxfId="69" priority="50" operator="equal">
      <formula>$C$161</formula>
    </cfRule>
  </conditionalFormatting>
  <conditionalFormatting sqref="Q181">
    <cfRule type="cellIs" dxfId="68" priority="20" operator="greaterThan">
      <formula>$Q$162</formula>
    </cfRule>
    <cfRule type="cellIs" dxfId="67" priority="21" operator="equal">
      <formula>$Q$162</formula>
    </cfRule>
    <cfRule type="cellIs" dxfId="66" priority="22" operator="lessThan">
      <formula>$Q$162</formula>
    </cfRule>
  </conditionalFormatting>
  <conditionalFormatting sqref="W181">
    <cfRule type="cellIs" dxfId="65" priority="17" operator="greaterThan">
      <formula>$W$162</formula>
    </cfRule>
    <cfRule type="cellIs" dxfId="64" priority="18" operator="equal">
      <formula>$W$162</formula>
    </cfRule>
    <cfRule type="cellIs" dxfId="63" priority="19" operator="lessThan">
      <formula>$W$162</formula>
    </cfRule>
  </conditionalFormatting>
  <conditionalFormatting sqref="AC181">
    <cfRule type="cellIs" dxfId="62" priority="14" operator="greaterThan">
      <formula>$AC$162</formula>
    </cfRule>
    <cfRule type="cellIs" dxfId="61" priority="15" operator="equal">
      <formula>$AC$162</formula>
    </cfRule>
    <cfRule type="cellIs" dxfId="60" priority="16" operator="lessThan">
      <formula>$AC$162</formula>
    </cfRule>
  </conditionalFormatting>
  <conditionalFormatting sqref="AI181">
    <cfRule type="cellIs" dxfId="59" priority="11" operator="greaterThan">
      <formula>$AI$162</formula>
    </cfRule>
    <cfRule type="cellIs" dxfId="58" priority="12" operator="equal">
      <formula>$AI$162</formula>
    </cfRule>
    <cfRule type="cellIs" dxfId="57" priority="13" operator="lessThan">
      <formula>$AI$162</formula>
    </cfRule>
  </conditionalFormatting>
  <conditionalFormatting sqref="H154:L154">
    <cfRule type="expression" dxfId="56" priority="4">
      <formula>$O$109="Nee"</formula>
    </cfRule>
  </conditionalFormatting>
  <conditionalFormatting sqref="N154:R154">
    <cfRule type="expression" dxfId="55" priority="3">
      <formula>$O$109="Nee"</formula>
    </cfRule>
  </conditionalFormatting>
  <conditionalFormatting sqref="H34:L52">
    <cfRule type="expression" dxfId="54" priority="2">
      <formula>$C$44="Vaste waarden"</formula>
    </cfRule>
  </conditionalFormatting>
  <conditionalFormatting sqref="B47:F50">
    <cfRule type="expression" dxfId="53" priority="1">
      <formula>$C$44="Berekend"</formula>
    </cfRule>
  </conditionalFormatting>
  <dataValidations count="1">
    <dataValidation type="list" allowBlank="1" showInputMessage="1" showErrorMessage="1" sqref="C44" xr:uid="{56D637E0-A9C7-A146-960A-529C415F14D7}">
      <formula1>"Berekend, Vaste waarden"</formula1>
    </dataValidation>
  </dataValidations>
  <pageMargins left="0.7" right="0.7" top="0.75" bottom="0.75" header="0.3" footer="0.3"/>
  <pageSetup paperSize="9" orientation="portrait" horizontalDpi="0" verticalDpi="0"/>
  <ignoredErrors>
    <ignoredError sqref="C116 E115 Q98" formula="1"/>
  </ignoredErrors>
  <extLst>
    <ext xmlns:x14="http://schemas.microsoft.com/office/spreadsheetml/2009/9/main" uri="{78C0D931-6437-407d-A8EE-F0AAD7539E65}">
      <x14:conditionalFormattings>
        <x14:conditionalFormatting xmlns:xm="http://schemas.microsoft.com/office/excel/2006/main">
          <x14:cfRule type="expression" priority="27" id="{A6EAFEE2-0DC3-AA46-B708-6A0917C40F17}">
            <xm:f>$H$59='DATA - Variabelen &amp; waarden'!$B$55</xm:f>
            <x14:dxf>
              <font>
                <u val="none"/>
                <color theme="0" tint="-0.34998626667073579"/>
              </font>
              <fill>
                <patternFill>
                  <bgColor theme="0" tint="-4.9989318521683403E-2"/>
                </patternFill>
              </fill>
            </x14:dxf>
          </x14:cfRule>
          <xm:sqref>H61:L61 I62:L63</xm:sqref>
        </x14:conditionalFormatting>
        <x14:conditionalFormatting xmlns:xm="http://schemas.microsoft.com/office/excel/2006/main">
          <x14:cfRule type="expression" priority="26" id="{E3AC8D9E-AEBF-914E-A909-BD73D13E2528}">
            <xm:f>$H$59='DATA - Variabelen &amp; waarden'!$B$54</xm:f>
            <x14:dxf>
              <font>
                <color theme="0" tint="-0.34998626667073579"/>
              </font>
              <fill>
                <patternFill>
                  <bgColor theme="0" tint="-4.9989318521683403E-2"/>
                </patternFill>
              </fill>
            </x14:dxf>
          </x14:cfRule>
          <xm:sqref>H64:L71</xm:sqref>
        </x14:conditionalFormatting>
        <x14:conditionalFormatting xmlns:xm="http://schemas.microsoft.com/office/excel/2006/main">
          <x14:cfRule type="expression" priority="5" id="{EA88D078-CD23-824A-975D-B8CB0E162F33}">
            <xm:f>$H$59='DATA - Variabelen &amp; waarden'!$B$55</xm:f>
            <x14:dxf>
              <font>
                <u val="none"/>
                <color theme="0" tint="-0.34998626667073579"/>
              </font>
              <fill>
                <patternFill>
                  <bgColor theme="0" tint="-4.9989318521683403E-2"/>
                </patternFill>
              </fill>
            </x14:dxf>
          </x14:cfRule>
          <xm:sqref>H62</xm:sqref>
        </x14:conditionalFormatting>
      </x14:conditionalFormattings>
    </ext>
    <ext xmlns:x14="http://schemas.microsoft.com/office/spreadsheetml/2009/9/main" uri="{CCE6A557-97BC-4b89-ADB6-D9C93CAAB3DF}">
      <x14:dataValidations xmlns:xm="http://schemas.microsoft.com/office/excel/2006/main" count="53">
        <x14:dataValidation type="list" allowBlank="1" showInputMessage="1" showErrorMessage="1" xr:uid="{29BE4EB9-A012-654D-9946-750C358FBECD}">
          <x14:formula1>
            <xm:f>'DATA - Variabelen &amp; waarden'!$B$348:$B$362</xm:f>
          </x14:formula1>
          <xm:sqref>N208 AF221 AF208 Z221 Z208 T221 T208 H221 H208 N221</xm:sqref>
        </x14:dataValidation>
        <x14:dataValidation type="list" allowBlank="1" showInputMessage="1" showErrorMessage="1" xr:uid="{AF2DAE23-E8DB-EB49-82D8-42333130D889}">
          <x14:formula1>
            <xm:f>'DATA - Variabelen &amp; waarden'!$B$267:$B$271</xm:f>
          </x14:formula1>
          <xm:sqref>H149</xm:sqref>
        </x14:dataValidation>
        <x14:dataValidation type="list" allowBlank="1" showInputMessage="1" showErrorMessage="1" xr:uid="{F8AB2125-9FDA-2C45-B71E-7809720E0000}">
          <x14:formula1>
            <xm:f>'DATA - Variabelen &amp; waarden'!$D$420:$G$420</xm:f>
          </x14:formula1>
          <xm:sqref>O248</xm:sqref>
        </x14:dataValidation>
        <x14:dataValidation type="list" allowBlank="1" showInputMessage="1" showErrorMessage="1" xr:uid="{C2751FE7-752D-D444-B6CB-5AF05B3F61A7}">
          <x14:formula1>
            <xm:f>'DATA - Variabelen &amp; waarden'!$B$255:$B$259</xm:f>
          </x14:formula1>
          <xm:sqref>H147</xm:sqref>
        </x14:dataValidation>
        <x14:dataValidation type="list" allowBlank="1" showInputMessage="1" showErrorMessage="1" xr:uid="{02EFEB21-D6A9-B943-BAA2-E1AB03B566F3}">
          <x14:formula1>
            <xm:f>'DATA - Variabelen &amp; waarden'!$D$399:$G$399</xm:f>
          </x14:formula1>
          <xm:sqref>I239:I242</xm:sqref>
        </x14:dataValidation>
        <x14:dataValidation type="list" allowBlank="1" showInputMessage="1" showErrorMessage="1" xr:uid="{99C06D1B-421E-D34D-A010-615F78916700}">
          <x14:formula1>
            <xm:f>'DATA - Variabelen &amp; waarden'!$D$214:$G$214</xm:f>
          </x14:formula1>
          <xm:sqref>I140 I143</xm:sqref>
        </x14:dataValidation>
        <x14:dataValidation type="list" allowBlank="1" showInputMessage="1" showErrorMessage="1" xr:uid="{75D2AF62-4BF8-FE47-A991-00DE577E6D94}">
          <x14:formula1>
            <xm:f>'DATA - Variabelen &amp; waarden'!$D$189:$G$189</xm:f>
          </x14:formula1>
          <xm:sqref>I123 I126</xm:sqref>
        </x14:dataValidation>
        <x14:dataValidation type="list" allowBlank="1" showInputMessage="1" showErrorMessage="1" xr:uid="{62ADF8B1-9311-1A40-A491-EF2E663718AF}">
          <x14:formula1>
            <xm:f>'DATA - Variabelen &amp; waarden'!$B$23:$B$36</xm:f>
          </x14:formula1>
          <xm:sqref>B37:B38</xm:sqref>
        </x14:dataValidation>
        <x14:dataValidation type="list" allowBlank="1" showInputMessage="1" showErrorMessage="1" xr:uid="{1446FE40-75E5-EC49-94BB-16306DF24A6E}">
          <x14:formula1>
            <xm:f>'DATA - Variabelen &amp; waarden'!$B$389:$B$394</xm:f>
          </x14:formula1>
          <xm:sqref>B239:B243</xm:sqref>
        </x14:dataValidation>
        <x14:dataValidation type="list" allowBlank="1" showInputMessage="1" showErrorMessage="1" xr:uid="{937C9705-ECD1-C040-8B5F-17597305AB95}">
          <x14:formula1>
            <xm:f>'DATA - Variabelen &amp; waarden'!$D$396:$G$396</xm:f>
          </x14:formula1>
          <xm:sqref>C248</xm:sqref>
        </x14:dataValidation>
        <x14:dataValidation type="list" allowBlank="1" showInputMessage="1" showErrorMessage="1" xr:uid="{1C6A611A-D4DB-0F44-9818-CB8760AB53E1}">
          <x14:formula1>
            <xm:f>'DATA - Variabelen &amp; waarden'!$B$39:$B$42</xm:f>
          </x14:formula1>
          <xm:sqref>H38 H45</xm:sqref>
        </x14:dataValidation>
        <x14:dataValidation type="list" allowBlank="1" showInputMessage="1" showErrorMessage="1" xr:uid="{8EEC1323-3859-A54F-B40E-704AA9F514CE}">
          <x14:formula1>
            <xm:f>'DATA - Variabelen &amp; waarden'!$D$381:$G$381</xm:f>
          </x14:formula1>
          <xm:sqref>O118 AG183 AA183 U183 O183 I183</xm:sqref>
        </x14:dataValidation>
        <x14:dataValidation type="list" allowBlank="1" showInputMessage="1" showErrorMessage="1" xr:uid="{E806DA9A-A130-B040-B836-8D9AB928337A}">
          <x14:formula1>
            <xm:f>'DATA - Variabelen &amp; waarden'!$B$232:$B$237</xm:f>
          </x14:formula1>
          <xm:sqref>H130</xm:sqref>
        </x14:dataValidation>
        <x14:dataValidation type="list" allowBlank="1" showInputMessage="1" showErrorMessage="1" xr:uid="{BE6587E9-15AE-624A-B0D3-2BF310B7C109}">
          <x14:formula1>
            <xm:f>'DATA - Variabelen &amp; waarden'!$B$326:$B$327</xm:f>
          </x14:formula1>
          <xm:sqref>O184 O201 O214 I184 I201 I214 U184 U201 U214 AA184 AA201 AA214 AG184 AG201 AG214 O109</xm:sqref>
        </x14:dataValidation>
        <x14:dataValidation type="list" allowBlank="1" showInputMessage="1" showErrorMessage="1" xr:uid="{30238997-8C1B-6D4C-B155-F97402E7ABAB}">
          <x14:formula1>
            <xm:f>'DATA - Variabelen &amp; waarden'!$D$273:$G$273</xm:f>
          </x14:formula1>
          <xm:sqref>O113 AG181 AA181 U181 I181 O181 O115</xm:sqref>
        </x14:dataValidation>
        <x14:dataValidation type="list" allowBlank="1" showInputMessage="1" showErrorMessage="1" xr:uid="{24B8609B-2157-C042-9A3A-56D56C16BA47}">
          <x14:formula1>
            <xm:f>'DATA - Variabelen &amp; waarden'!$D$261:$G$261</xm:f>
          </x14:formula1>
          <xm:sqref>I151</xm:sqref>
        </x14:dataValidation>
        <x14:dataValidation type="list" allowBlank="1" showInputMessage="1" showErrorMessage="1" xr:uid="{672E0DFB-165B-2544-B3AF-B389C243B938}">
          <x14:formula1>
            <xm:f>'DATA - Variabelen &amp; waarden'!$B$262:$B$264</xm:f>
          </x14:formula1>
          <xm:sqref>H151</xm:sqref>
        </x14:dataValidation>
        <x14:dataValidation type="list" allowBlank="1" showInputMessage="1" showErrorMessage="1" xr:uid="{C2097C31-E50F-AA4E-9084-AA15B2E8E2D5}">
          <x14:formula1>
            <xm:f>'DATA - Variabelen &amp; waarden'!$D$248:$G$248</xm:f>
          </x14:formula1>
          <xm:sqref>I134</xm:sqref>
        </x14:dataValidation>
        <x14:dataValidation type="list" allowBlank="1" showInputMessage="1" showErrorMessage="1" xr:uid="{4E1AC07B-75F1-F84C-943A-292EC18DEEF9}">
          <x14:formula1>
            <xm:f>'DATA - Variabelen &amp; waarden'!$B$249:$B$252</xm:f>
          </x14:formula1>
          <xm:sqref>H134</xm:sqref>
        </x14:dataValidation>
        <x14:dataValidation type="list" allowBlank="1" showInputMessage="1" showErrorMessage="1" xr:uid="{13502E14-6AA2-9348-8C69-664121DE79C3}">
          <x14:formula1>
            <xm:f>'DATA - Variabelen &amp; waarden'!$B$240:$B$246</xm:f>
          </x14:formula1>
          <xm:sqref>H132</xm:sqref>
        </x14:dataValidation>
        <x14:dataValidation type="list" allowBlank="1" showInputMessage="1" showErrorMessage="1" xr:uid="{3932A76D-0F51-BA48-A7A2-733D68195225}">
          <x14:formula1>
            <xm:f>'DATA - Variabelen &amp; waarden'!$D$239:$G$239</xm:f>
          </x14:formula1>
          <xm:sqref>I132</xm:sqref>
        </x14:dataValidation>
        <x14:dataValidation type="list" allowBlank="1" showInputMessage="1" showErrorMessage="1" xr:uid="{E129B33E-E4C3-8941-BE2A-6F24EBD31015}">
          <x14:formula1>
            <xm:f>'DATA - Variabelen &amp; waarden'!$D$231:$G$231</xm:f>
          </x14:formula1>
          <xm:sqref>I130</xm:sqref>
        </x14:dataValidation>
        <x14:dataValidation type="list" allowBlank="1" showInputMessage="1" showErrorMessage="1" xr:uid="{6309F749-25BF-2A41-9509-C8C3697D576D}">
          <x14:formula1>
            <xm:f>'DATA - Variabelen &amp; waarden'!$B$158:$B$159</xm:f>
          </x14:formula1>
          <xm:sqref>H109</xm:sqref>
        </x14:dataValidation>
        <x14:dataValidation type="list" allowBlank="1" showInputMessage="1" showErrorMessage="1" xr:uid="{82D3151B-2C2E-5148-8EB3-E4D396D7EF30}">
          <x14:formula1>
            <xm:f>'DATA - Variabelen &amp; waarden'!$B$54:$B$55</xm:f>
          </x14:formula1>
          <xm:sqref>H59</xm:sqref>
        </x14:dataValidation>
        <x14:dataValidation type="list" allowBlank="1" showInputMessage="1" showErrorMessage="1" xr:uid="{A387040B-989E-E24C-910F-E267C4DDEA82}">
          <x14:formula1>
            <xm:f>'DATA - Variabelen &amp; waarden'!$D$53:$G$53</xm:f>
          </x14:formula1>
          <xm:sqref>I65:I68</xm:sqref>
        </x14:dataValidation>
        <x14:dataValidation type="list" allowBlank="1" showInputMessage="1" showErrorMessage="1" xr:uid="{AA5C57F9-A912-BA4D-A54D-C098015524D3}">
          <x14:formula1>
            <xm:f>'DATA - Variabelen &amp; waarden'!$D$77:$G$77</xm:f>
          </x14:formula1>
          <xm:sqref>I74:I75 I77:I78 I86:I90 I80:I81 I83:I84</xm:sqref>
        </x14:dataValidation>
        <x14:dataValidation type="list" allowBlank="1" showInputMessage="1" showErrorMessage="1" xr:uid="{153B8D4A-8CE2-B142-A301-AEE628389008}">
          <x14:formula1>
            <xm:f>'DATA - Variabelen &amp; waarden'!$D$96:$G$96</xm:f>
          </x14:formula1>
          <xm:sqref>I93:I95 I101:I102 I97:I99</xm:sqref>
        </x14:dataValidation>
        <x14:dataValidation type="list" allowBlank="1" showInputMessage="1" showErrorMessage="1" xr:uid="{4A161679-3307-E649-8C87-FDD03C1078CC}">
          <x14:formula1>
            <xm:f>'DATA - Variabelen &amp; waarden'!$D$111:$G$111</xm:f>
          </x14:formula1>
          <xm:sqref>O67:O70 O72:O73 O59:O62 O64:O65</xm:sqref>
        </x14:dataValidation>
        <x14:dataValidation type="list" allowBlank="1" showInputMessage="1" showErrorMessage="1" xr:uid="{7E6BD6AB-5238-7C46-B46B-57965E505611}">
          <x14:formula1>
            <xm:f>'DATA - Variabelen &amp; waarden'!$D$129:$G$129</xm:f>
          </x14:formula1>
          <xm:sqref>O77:O79</xm:sqref>
        </x14:dataValidation>
        <x14:dataValidation type="list" allowBlank="1" showInputMessage="1" showErrorMessage="1" xr:uid="{60E9B5C6-34D1-F946-ABE8-1848AE3490D9}">
          <x14:formula1>
            <xm:f>'DATA - Variabelen &amp; waarden'!$D$134:$G$134</xm:f>
          </x14:formula1>
          <xm:sqref>O82:O83</xm:sqref>
        </x14:dataValidation>
        <x14:dataValidation type="list" allowBlank="1" showInputMessage="1" showErrorMessage="1" xr:uid="{A993FD0F-D7C6-8E4E-BF1C-39F2F0B884EA}">
          <x14:formula1>
            <xm:f>'DATA - Variabelen &amp; waarden'!$D$138:$G$138</xm:f>
          </x14:formula1>
          <xm:sqref>O86:O92</xm:sqref>
        </x14:dataValidation>
        <x14:dataValidation type="list" allowBlank="1" showInputMessage="1" showErrorMessage="1" xr:uid="{86F17B9C-4BBE-E240-BB6C-A4AF85A4E1B2}">
          <x14:formula1>
            <xm:f>'DATA - Variabelen &amp; waarden'!$D$147:$G$147</xm:f>
          </x14:formula1>
          <xm:sqref>O95:O96 O98</xm:sqref>
        </x14:dataValidation>
        <x14:dataValidation type="list" allowBlank="1" showInputMessage="1" showErrorMessage="1" xr:uid="{24E4BE89-9E17-4940-8FDC-A919A7009397}">
          <x14:formula1>
            <xm:f>'DATA - Variabelen &amp; waarden'!$B$179:$B$187</xm:f>
          </x14:formula1>
          <xm:sqref>H122</xm:sqref>
        </x14:dataValidation>
        <x14:dataValidation type="list" allowBlank="1" showInputMessage="1" showErrorMessage="1" xr:uid="{A02DFDAB-5C8F-B04C-85CF-5FC9FAC86B00}">
          <x14:formula1>
            <xm:f>'DATA - Variabelen &amp; waarden'!$D$161:$G$161</xm:f>
          </x14:formula1>
          <xm:sqref>I112 I114:I115</xm:sqref>
        </x14:dataValidation>
        <x14:dataValidation type="list" allowBlank="1" showInputMessage="1" showErrorMessage="1" xr:uid="{ECE40197-EBC2-9B44-91CD-14589B00E1FA}">
          <x14:formula1>
            <xm:f>'DATA - Variabelen &amp; waarden'!$D$178:$G$178</xm:f>
          </x14:formula1>
          <xm:sqref>I122</xm:sqref>
        </x14:dataValidation>
        <x14:dataValidation type="list" allowBlank="1" showInputMessage="1" showErrorMessage="1" xr:uid="{BCBED253-688A-844D-8C3B-4AAC15A30C29}">
          <x14:formula1>
            <xm:f>'DATA - Variabelen &amp; waarden'!$D$200:$G$200</xm:f>
          </x14:formula1>
          <xm:sqref>I125</xm:sqref>
        </x14:dataValidation>
        <x14:dataValidation type="list" allowBlank="1" showInputMessage="1" showErrorMessage="1" xr:uid="{DD53297B-DA7E-9E49-A262-9A617EC3F36F}">
          <x14:formula1>
            <xm:f>'DATA - Variabelen &amp; waarden'!$B$207:$B$212</xm:f>
          </x14:formula1>
          <xm:sqref>H139</xm:sqref>
        </x14:dataValidation>
        <x14:dataValidation type="list" allowBlank="1" showInputMessage="1" showErrorMessage="1" xr:uid="{A605F61C-195E-E340-8863-13C57FA5BE26}">
          <x14:formula1>
            <xm:f>'DATA - Variabelen &amp; waarden'!$D$206:$G$206</xm:f>
          </x14:formula1>
          <xm:sqref>I139</xm:sqref>
        </x14:dataValidation>
        <x14:dataValidation type="list" allowBlank="1" showInputMessage="1" showErrorMessage="1" xr:uid="{A82735F1-8BC9-3C4D-936F-21AE6755A794}">
          <x14:formula1>
            <xm:f>'DATA - Variabelen &amp; waarden'!$D$222:$G$222</xm:f>
          </x14:formula1>
          <xm:sqref>I142</xm:sqref>
        </x14:dataValidation>
        <x14:dataValidation type="list" allowBlank="1" showInputMessage="1" showErrorMessage="1" xr:uid="{774681E7-DA13-0541-BC5F-B4CE24FF5DF5}">
          <x14:formula1>
            <xm:f>'DATA - Variabelen &amp; waarden'!$D$254:$G$254</xm:f>
          </x14:formula1>
          <xm:sqref>I147</xm:sqref>
        </x14:dataValidation>
        <x14:dataValidation type="list" allowBlank="1" showInputMessage="1" showErrorMessage="1" xr:uid="{443F431E-B1C1-7B42-82F9-CB951A837507}">
          <x14:formula1>
            <xm:f>'DATA - Variabelen &amp; waarden'!$D$266:$G$266</xm:f>
          </x14:formula1>
          <xm:sqref>I149</xm:sqref>
        </x14:dataValidation>
        <x14:dataValidation type="list" allowBlank="1" showInputMessage="1" showErrorMessage="1" xr:uid="{8FD1AED1-1AAB-994D-A503-03FC84F209A5}">
          <x14:formula1>
            <xm:f>'DATA - Variabelen &amp; waarden'!$D$280:$G$280</xm:f>
          </x14:formula1>
          <xm:sqref>O167 I167 U167 AA167 AG167</xm:sqref>
        </x14:dataValidation>
        <x14:dataValidation type="list" allowBlank="1" showInputMessage="1" showErrorMessage="1" xr:uid="{CAE22CDE-D1B4-BB4B-93E0-10D01B9B5D9E}">
          <x14:formula1>
            <xm:f>'DATA - Variabelen &amp; waarden'!$D$388:$G$388</xm:f>
          </x14:formula1>
          <xm:sqref>C239:C243</xm:sqref>
        </x14:dataValidation>
        <x14:dataValidation type="list" allowBlank="1" showInputMessage="1" showErrorMessage="1" xr:uid="{2B9E85BD-A740-4C46-A4D6-7FEF27E7335D}">
          <x14:formula1>
            <xm:f>'DATA - Variabelen &amp; waarden'!$B$409:$B$418</xm:f>
          </x14:formula1>
          <xm:sqref>N239:N243</xm:sqref>
        </x14:dataValidation>
        <x14:dataValidation type="list" allowBlank="1" showInputMessage="1" showErrorMessage="1" xr:uid="{C6D4AB19-CC76-A44D-96C6-D6DF4B0A0189}">
          <x14:formula1>
            <xm:f>'DATA - Variabelen &amp; waarden'!$D$408:$G$408</xm:f>
          </x14:formula1>
          <xm:sqref>O239:O243</xm:sqref>
        </x14:dataValidation>
        <x14:dataValidation type="list" allowBlank="1" showInputMessage="1" showErrorMessage="1" xr:uid="{D6D18597-5471-B846-B7A4-E0C4FD307E81}">
          <x14:formula1>
            <xm:f>'DATA - Variabelen &amp; waarden'!$D$364:$G$364</xm:f>
          </x14:formula1>
          <xm:sqref>O209 O222 I209 I222 U209 U222 AA209 AA222 AG209 AG222</xm:sqref>
        </x14:dataValidation>
        <x14:dataValidation type="list" allowBlank="1" showInputMessage="1" showErrorMessage="1" xr:uid="{A5F87551-2479-E442-B2A8-39E81BBA95E5}">
          <x14:formula1>
            <xm:f>'DATA - Variabelen &amp; waarden'!$D$347:$G$347</xm:f>
          </x14:formula1>
          <xm:sqref>O208 O221 I208 I221 U208 U221 AA208 AA221 AG208 AG221</xm:sqref>
        </x14:dataValidation>
        <x14:dataValidation type="list" allowBlank="1" showInputMessage="1" showErrorMessage="1" xr:uid="{C3B6CB2F-0CF3-D644-BA9D-11E44117AA04}">
          <x14:formula1>
            <xm:f>'DATA - Variabelen &amp; waarden'!$D$338:$G$338</xm:f>
          </x14:formula1>
          <xm:sqref>O131 O196 I196 U196 AA196 AG196</xm:sqref>
        </x14:dataValidation>
        <x14:dataValidation type="list" allowBlank="1" showInputMessage="1" showErrorMessage="1" xr:uid="{BF896D31-D932-8344-B4BC-9C14AF3DB0F3}">
          <x14:formula1>
            <xm:f>'DATA - Variabelen &amp; waarden'!$D$329:$G$329</xm:f>
          </x14:formula1>
          <xm:sqref>O130 O195 I195 U195 AA195 AG195</xm:sqref>
        </x14:dataValidation>
        <x14:dataValidation type="list" allowBlank="1" showInputMessage="1" showErrorMessage="1" xr:uid="{BD15231D-0E88-B14F-910B-1412EE0F9065}">
          <x14:formula1>
            <xm:f>'DATA - Variabelen &amp; waarden'!$B$330:$B$336</xm:f>
          </x14:formula1>
          <xm:sqref>H195 N130 N195 T195 Z195 AF195</xm:sqref>
        </x14:dataValidation>
        <x14:dataValidation type="list" allowBlank="1" showInputMessage="1" showErrorMessage="1" xr:uid="{0B0431C9-1364-AF4B-B431-A9D865839B9B}">
          <x14:formula1>
            <xm:f>'DATA - Variabelen &amp; waarden'!$D$320:$G$320</xm:f>
          </x14:formula1>
          <xm:sqref>O192 O205 O122 O126 O218 O231 I192 I205 I218 I231 U192 U205 U218 U231 AA192 AA205 AA218 AA231 AG192 AG205 AG218 AG231</xm:sqref>
        </x14:dataValidation>
        <x14:dataValidation type="list" allowBlank="1" showInputMessage="1" showErrorMessage="1" xr:uid="{1FAB69FA-1EF7-434C-91FA-E0A9C3A9060B}">
          <x14:formula1>
            <xm:f>'DATA - Variabelen &amp; waarden'!$B$321:$B$323</xm:f>
          </x14:formula1>
          <xm:sqref>N218 N231 H192 H205 H218 H231 N122 N126 N192 N205 T218 T231 T192 T205 Z218 Z231 Z192 Z205 AF218 AF231 AF192 AF205</xm:sqref>
        </x14:dataValidation>
        <x14:dataValidation type="list" allowBlank="1" showInputMessage="1" showErrorMessage="1" xr:uid="{D53A3268-AEFF-A54C-B134-AEE14CF51DFD}">
          <x14:formula1>
            <xm:f>'DATA - Variabelen &amp; waarden'!$B$281:$B$295</xm:f>
          </x14:formula1>
          <xm:sqref>N161 H161 T161 Z161 AF161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7858-19A9-8A47-A550-3B2CBF61F93B}">
  <sheetPr>
    <tabColor theme="5" tint="-0.249977111117893"/>
  </sheetPr>
  <dimension ref="B1:AJ376"/>
  <sheetViews>
    <sheetView showGridLines="0" zoomScaleNormal="100" workbookViewId="0">
      <pane ySplit="2" topLeftCell="A341" activePane="bottomLeft" state="frozen"/>
      <selection pane="bottomLeft" activeCell="C364" sqref="C364"/>
    </sheetView>
  </sheetViews>
  <sheetFormatPr baseColWidth="10" defaultColWidth="11" defaultRowHeight="16" x14ac:dyDescent="0.2"/>
  <cols>
    <col min="1" max="1" width="3" customWidth="1"/>
    <col min="2" max="2" width="34.83203125" customWidth="1"/>
    <col min="3" max="3" width="13.33203125" customWidth="1"/>
    <col min="4" max="5" width="10.83203125" customWidth="1"/>
    <col min="6" max="6" width="11.5" bestFit="1" customWidth="1"/>
    <col min="7" max="7" width="3" customWidth="1"/>
    <col min="8" max="8" width="34.83203125" customWidth="1"/>
    <col min="9" max="9" width="13.33203125" customWidth="1"/>
    <col min="10" max="10" width="10.83203125" customWidth="1"/>
    <col min="11" max="11" width="10.83203125" style="3" customWidth="1"/>
    <col min="12" max="12" width="10.83203125" customWidth="1"/>
    <col min="13" max="13" width="3" customWidth="1"/>
    <col min="14" max="14" width="32.83203125" customWidth="1"/>
    <col min="15" max="15" width="13.33203125" customWidth="1"/>
    <col min="16" max="16" width="12.6640625" customWidth="1"/>
    <col min="17" max="17" width="13.33203125" customWidth="1"/>
    <col min="18" max="18" width="10.83203125" customWidth="1"/>
    <col min="19" max="19" width="3" customWidth="1"/>
    <col min="20" max="20" width="32.83203125" customWidth="1"/>
    <col min="21" max="21" width="13.33203125" customWidth="1"/>
    <col min="22" max="22" width="12.6640625" customWidth="1"/>
    <col min="23" max="23" width="13.33203125" customWidth="1"/>
    <col min="24" max="24" width="10.83203125" customWidth="1"/>
    <col min="25" max="25" width="3" customWidth="1"/>
    <col min="26" max="26" width="32.83203125" customWidth="1"/>
    <col min="27" max="27" width="13.33203125" customWidth="1"/>
    <col min="28" max="28" width="12.6640625" customWidth="1"/>
    <col min="29" max="29" width="13.33203125" customWidth="1"/>
    <col min="30" max="30" width="10.83203125" customWidth="1"/>
    <col min="31" max="31" width="3" customWidth="1"/>
    <col min="32" max="32" width="32.83203125" customWidth="1"/>
    <col min="33" max="33" width="13.33203125" customWidth="1"/>
    <col min="34" max="34" width="12.6640625" customWidth="1"/>
    <col min="35" max="35" width="13.33203125" customWidth="1"/>
    <col min="37" max="37" width="3" customWidth="1"/>
    <col min="38" max="38" width="32.83203125" customWidth="1"/>
    <col min="39" max="39" width="13.33203125" customWidth="1"/>
    <col min="40" max="40" width="12.6640625" customWidth="1"/>
    <col min="41" max="41" width="13.33203125" customWidth="1"/>
    <col min="42" max="42" width="10.83203125" customWidth="1"/>
    <col min="43" max="43" width="3" customWidth="1"/>
    <col min="44" max="44" width="13.33203125" customWidth="1"/>
    <col min="49" max="49" width="10.83203125" customWidth="1"/>
    <col min="50" max="50" width="3" customWidth="1"/>
    <col min="51" max="52" width="28.83203125" customWidth="1"/>
    <col min="53" max="53" width="13.33203125" customWidth="1"/>
  </cols>
  <sheetData>
    <row r="1" spans="2:36" x14ac:dyDescent="0.2">
      <c r="D1" s="99"/>
      <c r="K1"/>
    </row>
    <row r="2" spans="2:36" ht="19" x14ac:dyDescent="0.25">
      <c r="B2" s="95" t="s">
        <v>748</v>
      </c>
      <c r="C2" s="100"/>
      <c r="D2" s="101"/>
      <c r="E2" s="100"/>
      <c r="F2" s="100"/>
      <c r="G2" s="100"/>
      <c r="H2" s="102"/>
      <c r="I2" s="100"/>
      <c r="J2" s="100"/>
      <c r="K2" s="102"/>
      <c r="L2" s="100"/>
      <c r="M2" s="100"/>
      <c r="N2" s="102"/>
      <c r="O2" s="100"/>
      <c r="P2" s="100"/>
      <c r="Q2" s="100"/>
      <c r="R2" s="100"/>
      <c r="S2" s="100"/>
      <c r="T2" s="100"/>
      <c r="U2" s="100"/>
      <c r="V2" s="100"/>
      <c r="W2" s="100"/>
      <c r="X2" s="100"/>
      <c r="Y2" s="100"/>
      <c r="Z2" s="100"/>
      <c r="AA2" s="100"/>
      <c r="AB2" s="100"/>
      <c r="AC2" s="100"/>
      <c r="AD2" s="100"/>
      <c r="AE2" s="100"/>
      <c r="AF2" s="100"/>
      <c r="AG2" s="100"/>
      <c r="AH2" s="100"/>
      <c r="AI2" s="100"/>
      <c r="AJ2" s="100"/>
    </row>
    <row r="3" spans="2:36" x14ac:dyDescent="0.2">
      <c r="C3" s="28"/>
      <c r="D3" s="103"/>
      <c r="H3" s="4"/>
      <c r="K3" s="4"/>
      <c r="N3" s="4"/>
    </row>
    <row r="4" spans="2:36" ht="19" x14ac:dyDescent="0.25">
      <c r="B4" s="283" t="s">
        <v>19</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row>
    <row r="5" spans="2:36" x14ac:dyDescent="0.2">
      <c r="C5" s="28"/>
      <c r="D5" s="103"/>
      <c r="H5" s="4"/>
      <c r="K5" s="4"/>
      <c r="N5" s="4"/>
    </row>
    <row r="6" spans="2:36" s="106" customFormat="1" ht="17" x14ac:dyDescent="0.2">
      <c r="B6" s="105" t="s">
        <v>0</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8" spans="2:36" x14ac:dyDescent="0.2">
      <c r="B8" s="87" t="s">
        <v>20</v>
      </c>
      <c r="C8" s="173"/>
      <c r="D8" s="173"/>
      <c r="E8" s="173"/>
      <c r="F8" s="85"/>
      <c r="H8" s="87" t="s">
        <v>581</v>
      </c>
      <c r="I8" s="173"/>
      <c r="J8" s="173"/>
      <c r="K8" s="124"/>
      <c r="L8" s="85"/>
      <c r="T8" s="28"/>
    </row>
    <row r="9" spans="2:36" x14ac:dyDescent="0.2">
      <c r="B9" s="79"/>
      <c r="C9" s="171"/>
      <c r="D9" s="171"/>
      <c r="E9" s="171"/>
      <c r="F9" s="80"/>
      <c r="H9" s="125"/>
      <c r="I9" s="171"/>
      <c r="J9" s="171"/>
      <c r="K9" s="56"/>
      <c r="L9" s="80"/>
      <c r="T9" s="28"/>
    </row>
    <row r="10" spans="2:36" ht="17" thickBot="1" x14ac:dyDescent="0.25">
      <c r="B10" s="109" t="s">
        <v>21</v>
      </c>
      <c r="C10" s="171"/>
      <c r="D10" s="171"/>
      <c r="E10" s="171"/>
      <c r="F10" s="80"/>
      <c r="H10" s="109" t="s">
        <v>23</v>
      </c>
      <c r="I10" s="171"/>
      <c r="J10" s="171"/>
      <c r="K10" s="171"/>
      <c r="L10" s="80"/>
    </row>
    <row r="11" spans="2:36" ht="18" thickTop="1" thickBot="1" x14ac:dyDescent="0.25">
      <c r="B11" s="89" t="s">
        <v>792</v>
      </c>
      <c r="C11" s="171"/>
      <c r="D11" s="171"/>
      <c r="E11" s="171"/>
      <c r="F11" s="80"/>
      <c r="H11" s="79" t="s">
        <v>27</v>
      </c>
      <c r="I11" s="171"/>
      <c r="J11" s="171" t="s">
        <v>28</v>
      </c>
      <c r="K11" s="171"/>
      <c r="L11" s="80"/>
    </row>
    <row r="12" spans="2:36" ht="18" thickTop="1" thickBot="1" x14ac:dyDescent="0.25">
      <c r="B12" s="79"/>
      <c r="C12" s="171"/>
      <c r="D12" s="171"/>
      <c r="E12" s="171"/>
      <c r="F12" s="80"/>
      <c r="H12" s="89" t="s">
        <v>31</v>
      </c>
      <c r="I12" s="171"/>
      <c r="J12" s="62">
        <v>60</v>
      </c>
      <c r="K12" s="171" t="s">
        <v>32</v>
      </c>
      <c r="L12" s="80"/>
    </row>
    <row r="13" spans="2:36" ht="17" thickTop="1" x14ac:dyDescent="0.2">
      <c r="B13" s="109" t="s">
        <v>24</v>
      </c>
      <c r="C13" s="90" t="s">
        <v>25</v>
      </c>
      <c r="D13" s="92" t="s">
        <v>26</v>
      </c>
      <c r="E13" s="171"/>
      <c r="F13" s="80"/>
      <c r="H13" s="79"/>
      <c r="I13" s="90" t="s">
        <v>25</v>
      </c>
      <c r="J13" s="92" t="s">
        <v>26</v>
      </c>
      <c r="K13" s="171"/>
      <c r="L13" s="80"/>
    </row>
    <row r="14" spans="2:36" x14ac:dyDescent="0.2">
      <c r="B14" s="357" t="s">
        <v>29</v>
      </c>
      <c r="C14" s="55">
        <f>_xlfn.XLOOKUP(B11,'DATA - Variabelen &amp; waarden'!B6:B20,'DATA - Variabelen &amp; waarden'!E6:E20)</f>
        <v>50</v>
      </c>
      <c r="D14" s="62"/>
      <c r="E14" s="171">
        <f>IF(ISBLANK(D14),C14,D14)</f>
        <v>50</v>
      </c>
      <c r="F14" s="80" t="s">
        <v>30</v>
      </c>
      <c r="H14" s="187" t="s">
        <v>37</v>
      </c>
      <c r="I14" s="313" cm="1">
        <f t="array" ref="I14">(_xlfn.XLOOKUP($H$12,CO2Calculation[[#All],[CO2 emissie per hectare - formules]],CO2Calculation[[#All],[Richtingscoëfficiënt]])*($J$12/100))+_xlfn.XLOOKUP($H$12,CO2Calculation[[#All],[CO2 emissie per hectare - formules]],CO2Calculation[[#All],[Start]])</f>
        <v>4.8580000000000005</v>
      </c>
      <c r="J14" s="62"/>
      <c r="K14" s="315">
        <f>IF(I14&lt;=0,0,IF(ISBLANK(J14),I14,J14))</f>
        <v>4.8580000000000005</v>
      </c>
      <c r="L14" s="80" t="s">
        <v>36</v>
      </c>
    </row>
    <row r="15" spans="2:36" ht="19" x14ac:dyDescent="0.35">
      <c r="B15" s="79" t="s">
        <v>33</v>
      </c>
      <c r="C15" s="171"/>
      <c r="D15" s="62">
        <v>50</v>
      </c>
      <c r="E15" s="171">
        <f>D15</f>
        <v>50</v>
      </c>
      <c r="F15" s="80" t="s">
        <v>34</v>
      </c>
      <c r="H15" s="187" t="s">
        <v>40</v>
      </c>
      <c r="I15" s="313" cm="1">
        <f t="array" ref="I15">(_xlfn.XLOOKUP(H12,NO2Calculation[[#All],[NO2 emissie per hectare - formules]],NO2Calculation[[#All],[Richtingscoëfficiënt]])*((J12/100)^2))+(_xlfn.XLOOKUP(H12,NO2Calculation[[#All],[NO2 emissie per hectare - formules]],NO2Calculation[[#All],[Verschuiving]])*(J12/100))+_xlfn.XLOOKUP(H12,NO2Calculation[[#All],[NO2 emissie per hectare - formules]],NO2Calculation[[#All],[Start]])</f>
        <v>1.4548000000000003</v>
      </c>
      <c r="J15" s="62"/>
      <c r="K15" s="317">
        <f>IF(I15&lt;=0,0,IF(ISBLANK(J15),I15,J15))</f>
        <v>1.4548000000000003</v>
      </c>
      <c r="L15" s="80" t="s">
        <v>36</v>
      </c>
    </row>
    <row r="16" spans="2:36" x14ac:dyDescent="0.2">
      <c r="B16" s="79"/>
      <c r="C16" s="171"/>
      <c r="D16" s="171"/>
      <c r="E16" s="171"/>
      <c r="F16" s="80"/>
      <c r="H16" s="79"/>
      <c r="I16" s="171"/>
      <c r="J16" s="316" t="s">
        <v>42</v>
      </c>
      <c r="K16" s="315">
        <f>SUM(K14:K15)</f>
        <v>6.3128000000000011</v>
      </c>
      <c r="L16" s="80" t="s">
        <v>36</v>
      </c>
      <c r="M16" s="28"/>
    </row>
    <row r="17" spans="2:36" ht="17" thickBot="1" x14ac:dyDescent="0.25">
      <c r="B17" s="109" t="s">
        <v>567</v>
      </c>
      <c r="C17" s="171"/>
      <c r="D17" s="171"/>
      <c r="E17" s="171"/>
      <c r="F17" s="80"/>
      <c r="H17" s="109" t="s">
        <v>43</v>
      </c>
      <c r="I17" s="171"/>
      <c r="J17" s="171"/>
      <c r="K17" s="171"/>
      <c r="L17" s="80"/>
      <c r="M17" s="28"/>
    </row>
    <row r="18" spans="2:36" ht="18" thickTop="1" thickBot="1" x14ac:dyDescent="0.25">
      <c r="B18" s="79" t="s">
        <v>198</v>
      </c>
      <c r="C18" s="69" t="s">
        <v>673</v>
      </c>
      <c r="D18" s="171"/>
      <c r="E18" s="339">
        <f>IF(C18="Berekend",K25,E24)</f>
        <v>15</v>
      </c>
      <c r="F18" s="80" t="s">
        <v>36</v>
      </c>
      <c r="H18" s="79" t="s">
        <v>27</v>
      </c>
      <c r="I18" s="171"/>
      <c r="J18" s="171" t="s">
        <v>28</v>
      </c>
      <c r="K18" s="171"/>
      <c r="L18" s="80"/>
      <c r="M18" s="28"/>
    </row>
    <row r="19" spans="2:36" ht="18" thickTop="1" thickBot="1" x14ac:dyDescent="0.25">
      <c r="B19" s="79" t="s">
        <v>576</v>
      </c>
      <c r="C19" s="171"/>
      <c r="D19" s="171"/>
      <c r="E19" s="339">
        <f>E18*E14</f>
        <v>750</v>
      </c>
      <c r="F19" s="80" t="s">
        <v>41</v>
      </c>
      <c r="H19" s="89" t="s">
        <v>31</v>
      </c>
      <c r="I19" s="171"/>
      <c r="J19" s="62">
        <v>-3</v>
      </c>
      <c r="K19" s="171" t="s">
        <v>32</v>
      </c>
      <c r="L19" s="80"/>
      <c r="M19" s="28"/>
    </row>
    <row r="20" spans="2:36" ht="17" thickTop="1" x14ac:dyDescent="0.2">
      <c r="B20" s="79"/>
      <c r="C20" s="171"/>
      <c r="D20" s="171"/>
      <c r="E20" s="171"/>
      <c r="F20" s="80"/>
      <c r="H20" s="79"/>
      <c r="I20" s="90" t="s">
        <v>25</v>
      </c>
      <c r="J20" s="92" t="s">
        <v>26</v>
      </c>
      <c r="K20" s="171"/>
      <c r="L20" s="80"/>
      <c r="M20" s="28"/>
    </row>
    <row r="21" spans="2:36" x14ac:dyDescent="0.2">
      <c r="B21" s="359" t="s">
        <v>568</v>
      </c>
      <c r="C21" s="336" t="s">
        <v>25</v>
      </c>
      <c r="D21" s="337" t="s">
        <v>26</v>
      </c>
      <c r="E21" s="341"/>
      <c r="F21" s="342"/>
      <c r="H21" s="187" t="s">
        <v>37</v>
      </c>
      <c r="I21" s="313" cm="1">
        <f t="array" ref="I21">(_xlfn.XLOOKUP($H$19,CO2Calculation[[#All],[CO2 emissie per hectare - formules]],CO2Calculation[[#All],[Richtingscoëfficiënt]])*($J$19/100))+_xlfn.XLOOKUP($H$19,CO2Calculation[[#All],[CO2 emissie per hectare - formules]],CO2Calculation[[#All],[Start]])</f>
        <v>2.4451000000000001</v>
      </c>
      <c r="J21" s="62"/>
      <c r="K21" s="315">
        <f>IF(I21&lt;=0,0,IF(ISBLANK(J21),I21,J21))</f>
        <v>2.4451000000000001</v>
      </c>
      <c r="L21" s="80" t="s">
        <v>36</v>
      </c>
      <c r="M21" s="28"/>
    </row>
    <row r="22" spans="2:36" ht="19" x14ac:dyDescent="0.35">
      <c r="B22" s="340" t="s">
        <v>35</v>
      </c>
      <c r="C22" s="55">
        <f>_xlfn.XLOOKUP($B$11,'DATA - Variabelen &amp; waarden'!B22:B36,'DATA - Variabelen &amp; waarden'!E22:E36,"Selecteer Regio")</f>
        <v>30</v>
      </c>
      <c r="D22" s="62"/>
      <c r="E22" s="339">
        <f>IF(ISBLANK(D22),C22,D22)</f>
        <v>30</v>
      </c>
      <c r="F22" s="342" t="s">
        <v>36</v>
      </c>
      <c r="H22" s="187" t="s">
        <v>40</v>
      </c>
      <c r="I22" s="313" cm="1">
        <f t="array" ref="I22">(_xlfn.XLOOKUP(H19,NO2Calculation[[#All],[NO2 emissie per hectare - formules]],NO2Calculation[[#All],[Richtingscoëfficiënt]])*((J19/100)^2))+(_xlfn.XLOOKUP(H19,NO2Calculation[[#All],[NO2 emissie per hectare - formules]],NO2Calculation[[#All],[Verschuiving]])*(J19/100))+_xlfn.XLOOKUP(H19,NO2Calculation[[#All],[NO2 emissie per hectare - formules]],NO2Calculation[[#All],[Start]])</f>
        <v>0.21773200000000004</v>
      </c>
      <c r="J22" s="62"/>
      <c r="K22" s="317">
        <f>IF(I22&lt;=0,0,IF(ISBLANK(J22),I22,J22))</f>
        <v>0.21773200000000004</v>
      </c>
      <c r="L22" s="80" t="s">
        <v>36</v>
      </c>
      <c r="M22" s="28"/>
    </row>
    <row r="23" spans="2:36" x14ac:dyDescent="0.2">
      <c r="B23" s="415" t="s">
        <v>38</v>
      </c>
      <c r="C23" s="55">
        <f>_xlfn.XLOOKUP(B11,'DATA - Variabelen &amp; waarden'!B22:B36,'DATA - Variabelen &amp; waarden'!F22:F36,"Selecteer Regio")</f>
        <v>15</v>
      </c>
      <c r="D23" s="62"/>
      <c r="E23" s="339">
        <f>IF(ISBLANK(D23),C23,D23)</f>
        <v>15</v>
      </c>
      <c r="F23" s="342" t="s">
        <v>36</v>
      </c>
      <c r="H23" s="79"/>
      <c r="I23" s="171"/>
      <c r="J23" s="316" t="s">
        <v>42</v>
      </c>
      <c r="K23" s="315">
        <f>SUM(K21:K22)</f>
        <v>2.6628319999999999</v>
      </c>
      <c r="L23" s="80" t="s">
        <v>36</v>
      </c>
      <c r="M23" s="28"/>
    </row>
    <row r="24" spans="2:36" x14ac:dyDescent="0.2">
      <c r="B24" s="79" t="s">
        <v>39</v>
      </c>
      <c r="C24" s="341"/>
      <c r="D24" s="341"/>
      <c r="E24" s="339">
        <f>E22-E23</f>
        <v>15</v>
      </c>
      <c r="F24" s="342" t="s">
        <v>36</v>
      </c>
      <c r="H24" s="79"/>
      <c r="I24" s="171"/>
      <c r="J24" s="171"/>
      <c r="K24" s="56"/>
      <c r="L24" s="80"/>
      <c r="M24" s="28"/>
      <c r="W24" s="3"/>
    </row>
    <row r="25" spans="2:36" x14ac:dyDescent="0.2">
      <c r="B25" s="340"/>
      <c r="C25" s="341"/>
      <c r="D25" s="338"/>
      <c r="E25" s="267"/>
      <c r="F25" s="80"/>
      <c r="H25" s="79" t="s">
        <v>39</v>
      </c>
      <c r="I25" s="171"/>
      <c r="J25" s="318"/>
      <c r="K25" s="68">
        <f>K16-K23</f>
        <v>3.6499680000000012</v>
      </c>
      <c r="L25" s="80" t="s">
        <v>36</v>
      </c>
      <c r="M25" s="28"/>
      <c r="W25" s="3"/>
    </row>
    <row r="26" spans="2:36" x14ac:dyDescent="0.2">
      <c r="B26" s="81"/>
      <c r="C26" s="172"/>
      <c r="D26" s="172"/>
      <c r="E26" s="172"/>
      <c r="F26" s="82"/>
      <c r="H26" s="81"/>
      <c r="I26" s="172"/>
      <c r="J26" s="172"/>
      <c r="K26" s="193"/>
      <c r="L26" s="82"/>
      <c r="T26" s="28"/>
      <c r="W26" s="3"/>
    </row>
    <row r="27" spans="2:36" s="28" customFormat="1" x14ac:dyDescent="0.2">
      <c r="B27" s="38"/>
      <c r="C27" s="38"/>
      <c r="D27" s="38"/>
      <c r="E27" s="38"/>
      <c r="F27" s="38"/>
      <c r="K27" s="175"/>
    </row>
    <row r="28" spans="2:36" s="106" customFormat="1" ht="17" x14ac:dyDescent="0.2">
      <c r="B28" s="105" t="s">
        <v>3</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row>
    <row r="30" spans="2:36" x14ac:dyDescent="0.2">
      <c r="B30" s="58" t="s">
        <v>797</v>
      </c>
      <c r="C30" s="150"/>
      <c r="D30" s="150"/>
      <c r="E30" s="150"/>
      <c r="F30" s="59"/>
      <c r="H30" s="87" t="s">
        <v>44</v>
      </c>
      <c r="I30" s="173"/>
      <c r="J30" s="173"/>
      <c r="K30" s="183"/>
      <c r="L30" s="85"/>
      <c r="N30" s="87" t="s">
        <v>45</v>
      </c>
      <c r="O30" s="173"/>
      <c r="P30" s="173"/>
      <c r="Q30" s="173"/>
      <c r="R30" s="85"/>
    </row>
    <row r="31" spans="2:36" x14ac:dyDescent="0.2">
      <c r="B31" s="79"/>
      <c r="C31" s="171"/>
      <c r="D31" s="171"/>
      <c r="E31" s="171"/>
      <c r="F31" s="80"/>
      <c r="H31" s="125"/>
      <c r="I31" s="171"/>
      <c r="J31" s="171"/>
      <c r="K31" s="104"/>
      <c r="L31" s="80"/>
      <c r="N31" s="125"/>
      <c r="O31" s="171"/>
      <c r="P31" s="171"/>
      <c r="Q31" s="171"/>
      <c r="R31" s="80"/>
    </row>
    <row r="32" spans="2:36" ht="17" thickBot="1" x14ac:dyDescent="0.25">
      <c r="B32" s="416" t="s">
        <v>796</v>
      </c>
      <c r="C32" s="503" t="s">
        <v>46</v>
      </c>
      <c r="D32" s="503"/>
      <c r="E32" s="503" t="s">
        <v>47</v>
      </c>
      <c r="F32" s="505"/>
      <c r="H32" s="343" t="s">
        <v>1</v>
      </c>
      <c r="I32" s="90" t="s">
        <v>25</v>
      </c>
      <c r="J32" s="92" t="s">
        <v>26</v>
      </c>
      <c r="K32" s="56"/>
      <c r="L32" s="80"/>
      <c r="N32" s="343" t="str" cm="1">
        <f t="array" ref="N32:N48">CultCost01[[#All],[Gewasverzorging]]</f>
        <v>Gewasverzorging</v>
      </c>
      <c r="O32" s="90" t="s">
        <v>25</v>
      </c>
      <c r="P32" s="92" t="s">
        <v>26</v>
      </c>
      <c r="Q32" s="65">
        <f>SUM(Q33:Q37,Q40,Q45,Q48)</f>
        <v>520</v>
      </c>
      <c r="R32" s="184" t="s">
        <v>48</v>
      </c>
    </row>
    <row r="33" spans="2:22" ht="18" thickTop="1" thickBot="1" x14ac:dyDescent="0.25">
      <c r="B33" s="60" t="str">
        <f>H32</f>
        <v>Jaarlijks grondgebruik</v>
      </c>
      <c r="C33" s="55">
        <f>K33</f>
        <v>714</v>
      </c>
      <c r="D33" s="171" t="s">
        <v>48</v>
      </c>
      <c r="E33" s="55">
        <f t="shared" ref="E33:E38" si="0">C33*$E$14</f>
        <v>35700</v>
      </c>
      <c r="F33" s="61" t="s">
        <v>49</v>
      </c>
      <c r="H33" s="89" t="s">
        <v>50</v>
      </c>
      <c r="I33" s="56">
        <f>IF(H33=H35,K36,SUM(K44,K45))</f>
        <v>714</v>
      </c>
      <c r="J33" s="213"/>
      <c r="K33" s="54">
        <f>IF(ISBLANK(J33),I33,J33)</f>
        <v>714</v>
      </c>
      <c r="L33" s="184" t="s">
        <v>48</v>
      </c>
      <c r="N33" s="189" t="str">
        <v>Meststoffen</v>
      </c>
      <c r="O33" s="69" t="s">
        <v>63</v>
      </c>
      <c r="P33" s="62"/>
      <c r="Q33" s="176" cm="1">
        <f t="array" ref="Q33">IF(ISBLANK(P33),INDEX(CultCost01[[#All],[Geen]:[Waarde MIN]],_xlfn.XMATCH('SCENARIO 4 - Vrij invulbaar'!N33,CultCost01[[#All],[Gewasverzorging]]),_xlfn.XMATCH('SCENARIO 4 - Vrij invulbaar'!O33,CultCost01[[#Headers],[Geen]:[Waarde MIN]])),P33)</f>
        <v>0</v>
      </c>
      <c r="R33" s="190" t="s">
        <v>48</v>
      </c>
    </row>
    <row r="34" spans="2:22" ht="18" thickTop="1" thickBot="1" x14ac:dyDescent="0.25">
      <c r="B34" s="60" t="str">
        <f>N32</f>
        <v>Gewasverzorging</v>
      </c>
      <c r="C34" s="55">
        <f>Q32</f>
        <v>520</v>
      </c>
      <c r="D34" s="171" t="s">
        <v>48</v>
      </c>
      <c r="E34" s="55">
        <f t="shared" si="0"/>
        <v>26000</v>
      </c>
      <c r="F34" s="61" t="s">
        <v>49</v>
      </c>
      <c r="H34" s="79"/>
      <c r="I34" s="171"/>
      <c r="J34" s="171"/>
      <c r="K34" s="56"/>
      <c r="L34" s="80"/>
      <c r="N34" s="189" t="str">
        <v>Gewasbeschermingsmiddelen</v>
      </c>
      <c r="O34" s="69" t="s">
        <v>63</v>
      </c>
      <c r="P34" s="62"/>
      <c r="Q34" s="176" cm="1">
        <f t="array" ref="Q34">IF(ISBLANK(P34),INDEX(CultCost01[[#All],[Geen]:[Waarde MIN]],_xlfn.XMATCH('SCENARIO 4 - Vrij invulbaar'!N34,CultCost01[[#All],[Gewasverzorging]]),_xlfn.XMATCH('SCENARIO 4 - Vrij invulbaar'!O34,CultCost01[[#Headers],[Geen]:[Waarde MIN]])),P34)</f>
        <v>0</v>
      </c>
      <c r="R34" s="190" t="s">
        <v>48</v>
      </c>
    </row>
    <row r="35" spans="2:22" ht="18" thickTop="1" thickBot="1" x14ac:dyDescent="0.25">
      <c r="B35" s="60" t="str">
        <f>N50</f>
        <v>Energieverbruik en water</v>
      </c>
      <c r="C35" s="55">
        <f>Q50</f>
        <v>100</v>
      </c>
      <c r="D35" s="171" t="s">
        <v>48</v>
      </c>
      <c r="E35" s="55">
        <f t="shared" si="0"/>
        <v>5000</v>
      </c>
      <c r="F35" s="61" t="s">
        <v>49</v>
      </c>
      <c r="H35" s="251" t="str">
        <f>'DATA - Variabelen &amp; waarden'!B54</f>
        <v xml:space="preserve">Pacht </v>
      </c>
      <c r="I35" s="171"/>
      <c r="J35" s="171"/>
      <c r="K35" s="56"/>
      <c r="L35" s="80"/>
      <c r="N35" s="187" t="str">
        <v>Ongediertebestrijding - uren</v>
      </c>
      <c r="O35" s="69" t="s">
        <v>54</v>
      </c>
      <c r="P35" s="62"/>
      <c r="Q35" s="360" cm="1">
        <f t="array" ref="Q35">IF(ISBLANK(P35),INDEX(CultCost01[[#All],[Geen]:[Waarde MIN]],_xlfn.XMATCH('SCENARIO 4 - Vrij invulbaar'!N35,CultCost01[[#All],[Gewasverzorging]]),_xlfn.XMATCH('SCENARIO 4 - Vrij invulbaar'!O35,CultCost01[[#Headers],[Geen]:[Waarde MIN]])),P35)</f>
        <v>5</v>
      </c>
      <c r="R35" s="191" t="s">
        <v>55</v>
      </c>
    </row>
    <row r="36" spans="2:22" ht="18" thickTop="1" thickBot="1" x14ac:dyDescent="0.25">
      <c r="B36" s="60" t="str">
        <f>N55</f>
        <v>Belastingen en verzekeringen</v>
      </c>
      <c r="C36" s="55">
        <f>Q55</f>
        <v>148.4</v>
      </c>
      <c r="D36" s="171" t="s">
        <v>48</v>
      </c>
      <c r="E36" s="55">
        <f t="shared" si="0"/>
        <v>7420</v>
      </c>
      <c r="F36" s="61" t="s">
        <v>49</v>
      </c>
      <c r="H36" s="79" t="str">
        <f>B11</f>
        <v xml:space="preserve">Hollands/Utrechts weidegebied </v>
      </c>
      <c r="I36" s="171"/>
      <c r="J36" s="62"/>
      <c r="K36" s="176" cm="1">
        <f t="array" ref="K36">IF(ISBLANK(J36),_xlfn.XLOOKUP(H36,PachtPrijs[[#All],[Pachtprijs - per regio]],PachtPrijs[[#All],[Regionorm 2020]],"Selecteer gebied"),J36)</f>
        <v>714</v>
      </c>
      <c r="L36" s="190" t="s">
        <v>48</v>
      </c>
      <c r="N36" s="187" t="str">
        <v>Ongediertebestrijding - tarief</v>
      </c>
      <c r="O36" s="69" t="s">
        <v>54</v>
      </c>
      <c r="P36" s="62"/>
      <c r="Q36" s="188" cm="1">
        <f t="array" ref="Q36">IF(ISBLANK(P36),INDEX(CultCost01[[#All],[Geen]:[Waarde MIN]],_xlfn.XMATCH('SCENARIO 4 - Vrij invulbaar'!N36,CultCost01[[#All],[Gewasverzorging]]),_xlfn.XMATCH('SCENARIO 4 - Vrij invulbaar'!O36,CultCost01[[#Headers],[Geen]:[Waarde MIN]])),P36)</f>
        <v>25</v>
      </c>
      <c r="R36" s="191" t="s">
        <v>57</v>
      </c>
    </row>
    <row r="37" spans="2:22" ht="18" thickTop="1" thickBot="1" x14ac:dyDescent="0.25">
      <c r="B37" s="60" t="str">
        <f>N59</f>
        <v>Onderhoud</v>
      </c>
      <c r="C37" s="55">
        <f>Q59</f>
        <v>367.5</v>
      </c>
      <c r="D37" s="171" t="s">
        <v>48</v>
      </c>
      <c r="E37" s="55">
        <f t="shared" si="0"/>
        <v>18375</v>
      </c>
      <c r="F37" s="61" t="s">
        <v>49</v>
      </c>
      <c r="H37" s="79"/>
      <c r="I37" s="171"/>
      <c r="J37" s="171"/>
      <c r="K37" s="176"/>
      <c r="L37" s="190"/>
      <c r="N37" s="189" t="str">
        <v>Ongediertebestrijding</v>
      </c>
      <c r="O37" s="55">
        <f>Q35*Q36</f>
        <v>125</v>
      </c>
      <c r="P37" s="62"/>
      <c r="Q37" s="176">
        <f>IF(ISBLANK(P37),O37,P37)</f>
        <v>125</v>
      </c>
      <c r="R37" s="190" t="s">
        <v>48</v>
      </c>
    </row>
    <row r="38" spans="2:22" ht="18" thickTop="1" thickBot="1" x14ac:dyDescent="0.25">
      <c r="B38" s="63" t="str">
        <f>N68</f>
        <v>Afschrijving &amp; aflossing teeltinvesteringen</v>
      </c>
      <c r="C38" s="53">
        <f>Q68</f>
        <v>1606.8642108067806</v>
      </c>
      <c r="D38" s="115" t="s">
        <v>48</v>
      </c>
      <c r="E38" s="53">
        <f t="shared" si="0"/>
        <v>80343.210540339031</v>
      </c>
      <c r="F38" s="64" t="s">
        <v>49</v>
      </c>
      <c r="H38" s="260" t="s">
        <v>56</v>
      </c>
      <c r="I38" s="171"/>
      <c r="J38" s="171"/>
      <c r="K38" s="182"/>
      <c r="L38" s="185"/>
      <c r="N38" s="187" t="str">
        <v>Dijkbeheer &amp; slootonderhoud - uren</v>
      </c>
      <c r="O38" s="69" t="s">
        <v>54</v>
      </c>
      <c r="P38" s="62"/>
      <c r="Q38" s="360" cm="1">
        <f t="array" ref="Q38">IF(ISBLANK(P38),INDEX(CultCost01[[#All],[Geen]:[Waarde MIN]],_xlfn.XMATCH('SCENARIO 4 - Vrij invulbaar'!N38,CultCost01[[#All],[Gewasverzorging]]),_xlfn.XMATCH('SCENARIO 4 - Vrij invulbaar'!O38,CultCost01[[#Headers],[Geen]:[Waarde MIN]])),P38)</f>
        <v>2.2000000000000002</v>
      </c>
      <c r="R38" s="191" t="s">
        <v>55</v>
      </c>
    </row>
    <row r="39" spans="2:22" ht="18" thickTop="1" thickBot="1" x14ac:dyDescent="0.25">
      <c r="B39" s="416" t="s">
        <v>47</v>
      </c>
      <c r="C39" s="65">
        <f>SUM(C33:C38)</f>
        <v>3456.7642108067807</v>
      </c>
      <c r="D39" s="57" t="s">
        <v>48</v>
      </c>
      <c r="E39" s="65">
        <f>SUM(E33:E38)</f>
        <v>172838.21054033903</v>
      </c>
      <c r="F39" s="417" t="s">
        <v>49</v>
      </c>
      <c r="H39" s="187" t="str">
        <f>'DATA - Variabelen &amp; waarden'!B56</f>
        <v xml:space="preserve">Grondprijs </v>
      </c>
      <c r="I39" s="69" t="s">
        <v>54</v>
      </c>
      <c r="J39" s="62"/>
      <c r="K39" s="178" cm="1">
        <f t="array" ref="K39">IF(ISBLANK(J39),INDEX(LandUse01[[#All],[Geen]:[Waarde MIN]],_xlfn.XMATCH(H39,LandUse01[[#All],[Grondgebruik ]]),_xlfn.XMATCH('SCENARIO 4 - Vrij invulbaar'!I39,LandUse01[[#Headers],[Geen]:[Waarde MIN]])),J39)</f>
        <v>60900</v>
      </c>
      <c r="L39" s="185" t="s">
        <v>48</v>
      </c>
      <c r="N39" s="187" t="str">
        <v>Dijkbeheer &amp; slootonderhoud - tarief</v>
      </c>
      <c r="O39" s="69" t="s">
        <v>54</v>
      </c>
      <c r="P39" s="62"/>
      <c r="Q39" s="188" cm="1">
        <f t="array" ref="Q39">IF(ISBLANK(P39),INDEX(CultCost01[[#All],[Geen]:[Waarde MIN]],_xlfn.XMATCH('SCENARIO 4 - Vrij invulbaar'!N39,CultCost01[[#All],[Gewasverzorging]]),_xlfn.XMATCH('SCENARIO 4 - Vrij invulbaar'!O39,CultCost01[[#Headers],[Geen]:[Waarde MIN]])),P39)</f>
        <v>25</v>
      </c>
      <c r="R39" s="191" t="s">
        <v>57</v>
      </c>
    </row>
    <row r="40" spans="2:22" ht="18" thickTop="1" thickBot="1" x14ac:dyDescent="0.25">
      <c r="B40" s="79"/>
      <c r="C40" s="171"/>
      <c r="D40" s="171"/>
      <c r="E40" s="171"/>
      <c r="F40" s="80"/>
      <c r="H40" s="187" t="str">
        <f>'DATA - Variabelen &amp; waarden'!B57</f>
        <v>Rente lening</v>
      </c>
      <c r="I40" s="69" t="s">
        <v>54</v>
      </c>
      <c r="J40" s="62"/>
      <c r="K40" s="290" cm="1">
        <f t="array" ref="K40">IF(ISBLANK(J40),INDEX(LandUse01[[#All],[Geen]:[Waarde MIN]],_xlfn.XMATCH('SCENARIO 4 - Vrij invulbaar'!H40,LandUse01[[#All],[Grondgebruik ]]),_xlfn.XMATCH('SCENARIO 4 - Vrij invulbaar'!I40,LandUse01[[#Headers],[Geen]:[Waarde MIN]])),J40)</f>
        <v>0.02</v>
      </c>
      <c r="L40" s="185" t="s">
        <v>58</v>
      </c>
      <c r="N40" s="189" t="str">
        <v>Dijkbeheer &amp; slootonderhoud</v>
      </c>
      <c r="O40" s="55">
        <f>Q38*Q39</f>
        <v>55.000000000000007</v>
      </c>
      <c r="P40" s="62"/>
      <c r="Q40" s="176">
        <f>IF(ISBLANK(P40),O40,P40)</f>
        <v>55.000000000000007</v>
      </c>
      <c r="R40" s="190" t="s">
        <v>48</v>
      </c>
    </row>
    <row r="41" spans="2:22" ht="18" thickTop="1" thickBot="1" x14ac:dyDescent="0.25">
      <c r="B41" s="416" t="s">
        <v>798</v>
      </c>
      <c r="C41" s="503" t="s">
        <v>46</v>
      </c>
      <c r="D41" s="503"/>
      <c r="E41" s="503" t="s">
        <v>47</v>
      </c>
      <c r="F41" s="505"/>
      <c r="H41" s="187" t="str">
        <f>'DATA - Variabelen &amp; waarden'!B58</f>
        <v xml:space="preserve">Aflossingstermijn </v>
      </c>
      <c r="I41" s="69" t="s">
        <v>52</v>
      </c>
      <c r="J41" s="62"/>
      <c r="K41" s="178" cm="1">
        <f t="array" ref="K41">IF(ISBLANK(J41),INDEX(LandUse01[[#All],[Geen]:[Waarde MIN]],_xlfn.XMATCH('SCENARIO 4 - Vrij invulbaar'!H41,LandUse01[[#All],[Grondgebruik ]]),_xlfn.XMATCH('SCENARIO 4 - Vrij invulbaar'!I41,LandUse01[[#Headers],[Geen]:[Waarde MIN]])),J41)</f>
        <v>30</v>
      </c>
      <c r="L41" s="185" t="s">
        <v>59</v>
      </c>
      <c r="N41" s="187" t="str">
        <v>Gewasverzorging - uren medewerker</v>
      </c>
      <c r="O41" s="69" t="s">
        <v>54</v>
      </c>
      <c r="P41" s="62"/>
      <c r="Q41" s="178" cm="1">
        <f t="array" ref="Q41">IF(ISBLANK(P41),INDEX(CultCost01[[#All],[Geen]:[Waarde MIN]],_xlfn.XMATCH('SCENARIO 4 - Vrij invulbaar'!N41,CultCost01[[#All],[Gewasverzorging]]),_xlfn.XMATCH('SCENARIO 4 - Vrij invulbaar'!O41,CultCost01[[#Headers],[Geen]:[Waarde MIN]])),P41)</f>
        <v>10</v>
      </c>
      <c r="R41" s="185" t="s">
        <v>55</v>
      </c>
    </row>
    <row r="42" spans="2:22" ht="18" thickTop="1" thickBot="1" x14ac:dyDescent="0.25">
      <c r="B42" s="79" t="s">
        <v>799</v>
      </c>
      <c r="C42" s="55">
        <f>K47</f>
        <v>8300</v>
      </c>
      <c r="D42" s="171" t="s">
        <v>48</v>
      </c>
      <c r="E42" s="55">
        <f t="shared" ref="E42:E43" si="1">C42*$E$14</f>
        <v>415000</v>
      </c>
      <c r="F42" s="61" t="s">
        <v>49</v>
      </c>
      <c r="H42" s="187" t="str">
        <f>'DATA - Variabelen &amp; waarden'!B59</f>
        <v>Restwaarde grond - %</v>
      </c>
      <c r="I42" s="69" t="s">
        <v>54</v>
      </c>
      <c r="J42" s="62"/>
      <c r="K42" s="214" cm="1">
        <f t="array" ref="K42">IF(ISBLANK(J42),INDEX(LandUse01[[#All],[Geen]:[Waarde MIN]],_xlfn.XMATCH('SCENARIO 4 - Vrij invulbaar'!H42,LandUse01[[#All],[Grondgebruik ]]),_xlfn.XMATCH('SCENARIO 4 - Vrij invulbaar'!I42,LandUse01[[#Headers],[Geen]:[Waarde MIN]])),J42)</f>
        <v>0.65</v>
      </c>
      <c r="L42" s="185" t="s">
        <v>58</v>
      </c>
      <c r="N42" s="187" t="str">
        <v>Medewerker - tarief per uur</v>
      </c>
      <c r="O42" s="69" t="s">
        <v>54</v>
      </c>
      <c r="P42" s="62"/>
      <c r="Q42" s="178" cm="1">
        <f t="array" ref="Q42">IF(ISBLANK(P42),INDEX(CultCost01[[#All],[Geen]:[Waarde MIN]],_xlfn.XMATCH('SCENARIO 4 - Vrij invulbaar'!N42,CultCost01[[#All],[Gewasverzorging]]),_xlfn.XMATCH('SCENARIO 4 - Vrij invulbaar'!O42,CultCost01[[#Headers],[Geen]:[Waarde MIN]])),P42)</f>
        <v>25</v>
      </c>
      <c r="R42" s="185" t="s">
        <v>57</v>
      </c>
    </row>
    <row r="43" spans="2:22" ht="18" thickTop="1" thickBot="1" x14ac:dyDescent="0.25">
      <c r="B43" s="114" t="s">
        <v>800</v>
      </c>
      <c r="C43" s="418">
        <f>K66</f>
        <v>7265</v>
      </c>
      <c r="D43" s="115" t="s">
        <v>48</v>
      </c>
      <c r="E43" s="418">
        <f t="shared" si="1"/>
        <v>363250</v>
      </c>
      <c r="F43" s="419" t="s">
        <v>49</v>
      </c>
      <c r="H43" s="187" t="s">
        <v>60</v>
      </c>
      <c r="I43" s="197">
        <f>K39*K42</f>
        <v>39585</v>
      </c>
      <c r="J43" s="62"/>
      <c r="K43" s="178">
        <f>IF(ISBLANK(J43),I43,J43)</f>
        <v>39585</v>
      </c>
      <c r="L43" s="185" t="s">
        <v>48</v>
      </c>
      <c r="N43" s="187" t="str">
        <v xml:space="preserve">Gewasverzorging - uren management </v>
      </c>
      <c r="O43" s="69" t="s">
        <v>54</v>
      </c>
      <c r="P43" s="62"/>
      <c r="Q43" s="178" cm="1">
        <f t="array" ref="Q43">IF(ISBLANK(P43),INDEX(CultCost01[[#All],[Geen]:[Waarde MIN]],_xlfn.XMATCH('SCENARIO 4 - Vrij invulbaar'!N43,CultCost01[[#All],[Gewasverzorging]]),_xlfn.XMATCH('SCENARIO 4 - Vrij invulbaar'!O43,CultCost01[[#Headers],[Geen]:[Waarde MIN]])),P43)</f>
        <v>1</v>
      </c>
      <c r="R43" s="185" t="s">
        <v>55</v>
      </c>
    </row>
    <row r="44" spans="2:22" ht="18" thickTop="1" thickBot="1" x14ac:dyDescent="0.25">
      <c r="B44" s="424" t="s">
        <v>47</v>
      </c>
      <c r="C44" s="249">
        <f>SUM(C42:C43)</f>
        <v>15565</v>
      </c>
      <c r="D44" s="119" t="s">
        <v>48</v>
      </c>
      <c r="E44" s="249">
        <f>SUM(E42:E43)</f>
        <v>778250</v>
      </c>
      <c r="F44" s="425" t="s">
        <v>49</v>
      </c>
      <c r="H44" s="189" t="s">
        <v>61</v>
      </c>
      <c r="I44" s="176">
        <f>-PMT(K40,K41,K39)</f>
        <v>2719.18026766824</v>
      </c>
      <c r="J44" s="62"/>
      <c r="K44" s="176">
        <f>IF(ISBLANK(J44),I44,J44)</f>
        <v>2719.18026766824</v>
      </c>
      <c r="L44" s="190" t="s">
        <v>48</v>
      </c>
      <c r="N44" s="187" t="str">
        <v>Manager - tarief per uur</v>
      </c>
      <c r="O44" s="69" t="s">
        <v>54</v>
      </c>
      <c r="P44" s="62"/>
      <c r="Q44" s="178" cm="1">
        <f t="array" ref="Q44">IF(ISBLANK(P44),INDEX(CultCost01[[#All],[Geen]:[Waarde MIN]],_xlfn.XMATCH('SCENARIO 4 - Vrij invulbaar'!N44,CultCost01[[#All],[Gewasverzorging]]),_xlfn.XMATCH('SCENARIO 4 - Vrij invulbaar'!O44,CultCost01[[#Headers],[Geen]:[Waarde MIN]])),P44)</f>
        <v>60</v>
      </c>
      <c r="R44" s="185" t="s">
        <v>57</v>
      </c>
    </row>
    <row r="45" spans="2:22" ht="18" thickTop="1" thickBot="1" x14ac:dyDescent="0.25">
      <c r="H45" s="189" t="s">
        <v>62</v>
      </c>
      <c r="I45" s="176">
        <f>(K39-K43)/K41</f>
        <v>710.5</v>
      </c>
      <c r="J45" s="62"/>
      <c r="K45" s="176">
        <f>IF(ISBLANK(J45),I45,J45)</f>
        <v>710.5</v>
      </c>
      <c r="L45" s="190" t="s">
        <v>48</v>
      </c>
      <c r="N45" s="189" t="str">
        <v>Gewasverzorging - eigen arbeidsuren</v>
      </c>
      <c r="O45" s="55">
        <f>SUM(Q41*Q42,Q43*Q44)</f>
        <v>310</v>
      </c>
      <c r="P45" s="62"/>
      <c r="Q45" s="176">
        <f>IF(ISBLANK(P45),O45,P45)</f>
        <v>310</v>
      </c>
      <c r="R45" s="190" t="s">
        <v>48</v>
      </c>
      <c r="V45" s="28"/>
    </row>
    <row r="46" spans="2:22" ht="18" thickTop="1" thickBot="1" x14ac:dyDescent="0.25">
      <c r="H46" s="79"/>
      <c r="I46" s="171"/>
      <c r="J46" s="171"/>
      <c r="K46" s="56"/>
      <c r="L46" s="80"/>
      <c r="N46" s="187" t="str">
        <v>Gewasverzorging - uren inhuur derden</v>
      </c>
      <c r="O46" s="69" t="s">
        <v>63</v>
      </c>
      <c r="P46" s="62"/>
      <c r="Q46" s="178" cm="1">
        <f t="array" ref="Q46">IF(ISBLANK(P46),INDEX(CultCost01[[#All],[Geen]:[Waarde MIN]],_xlfn.XMATCH('SCENARIO 4 - Vrij invulbaar'!N46,CultCost01[[#All],[Gewasverzorging]]),_xlfn.XMATCH('SCENARIO 4 - Vrij invulbaar'!O46,CultCost01[[#Headers],[Geen]:[Waarde MIN]])),P46)</f>
        <v>0</v>
      </c>
      <c r="R46" s="185" t="s">
        <v>55</v>
      </c>
    </row>
    <row r="47" spans="2:22" ht="18" thickTop="1" thickBot="1" x14ac:dyDescent="0.25">
      <c r="H47" s="109" t="s">
        <v>64</v>
      </c>
      <c r="I47" s="90" t="s">
        <v>25</v>
      </c>
      <c r="J47" s="92" t="s">
        <v>26</v>
      </c>
      <c r="K47" s="65">
        <f>SUM(K50,K53,K56,K59,K60,K61,K62,K63,K64)</f>
        <v>8300</v>
      </c>
      <c r="L47" s="184" t="s">
        <v>48</v>
      </c>
      <c r="N47" s="187" t="str">
        <v>Gewasverzorging - tarief inhuur derden</v>
      </c>
      <c r="O47" s="69" t="s">
        <v>63</v>
      </c>
      <c r="P47" s="62"/>
      <c r="Q47" s="178" cm="1">
        <f t="array" ref="Q47">IF(ISBLANK(P47),INDEX(CultCost01[[#All],[Geen]:[Waarde MIN]],_xlfn.XMATCH('SCENARIO 4 - Vrij invulbaar'!N47,CultCost01[[#All],[Gewasverzorging]]),_xlfn.XMATCH('SCENARIO 4 - Vrij invulbaar'!O47,CultCost01[[#Headers],[Geen]:[Waarde MIN]])),P47)</f>
        <v>0</v>
      </c>
      <c r="R47" s="185" t="s">
        <v>57</v>
      </c>
    </row>
    <row r="48" spans="2:22" ht="18" thickTop="1" thickBot="1" x14ac:dyDescent="0.25">
      <c r="H48" s="187" t="str" cm="1">
        <f t="array" ref="H48:H64">CultInvest01[Teelt - Investeringen perceel]</f>
        <v>Grondverzet - uren per hectare</v>
      </c>
      <c r="I48" s="69" t="s">
        <v>54</v>
      </c>
      <c r="J48" s="62"/>
      <c r="K48" s="178" cm="1">
        <f t="array" ref="K48">IF(ISBLANK(J48),INDEX(CultInvest01[[#All],[Geen]:[Waarde MIN]],_xlfn.XMATCH('SCENARIO 4 - Vrij invulbaar'!H48,CultInvest01[[#All],[Teelt - Investeringen perceel]]),_xlfn.XMATCH('SCENARIO 4 - Vrij invulbaar'!I48,CultInvest01[[#Headers],[Geen]:[Waarde MIN]])),J48)</f>
        <v>40</v>
      </c>
      <c r="L48" s="179" t="s">
        <v>55</v>
      </c>
      <c r="N48" s="189" t="str">
        <v>Gewasverzorging - inhuur derden</v>
      </c>
      <c r="O48" s="171">
        <f>Q46*Q47</f>
        <v>0</v>
      </c>
      <c r="P48" s="62"/>
      <c r="Q48" s="176">
        <f>IF(ISBLANK(P48),O48,P48)</f>
        <v>0</v>
      </c>
      <c r="R48" s="190" t="s">
        <v>48</v>
      </c>
    </row>
    <row r="49" spans="8:18" ht="18" thickTop="1" thickBot="1" x14ac:dyDescent="0.25">
      <c r="H49" s="187" t="str">
        <v>Grondverzet - prijs per uur</v>
      </c>
      <c r="I49" s="69" t="s">
        <v>54</v>
      </c>
      <c r="J49" s="62"/>
      <c r="K49" s="178" cm="1">
        <f t="array" ref="K49">IF(ISBLANK(J49),INDEX(CultInvest01[[#All],[Geen]:[Waarde MIN]],_xlfn.XMATCH('SCENARIO 4 - Vrij invulbaar'!H49,CultInvest01[[#All],[Teelt - Investeringen perceel]]),_xlfn.XMATCH('SCENARIO 4 - Vrij invulbaar'!I49,CultInvest01[[#Headers],[Geen]:[Waarde MIN]])),J49)</f>
        <v>95</v>
      </c>
      <c r="L49" s="179" t="s">
        <v>57</v>
      </c>
      <c r="N49" s="79"/>
      <c r="O49" s="171"/>
      <c r="P49" s="171"/>
      <c r="Q49" s="171"/>
      <c r="R49" s="80"/>
    </row>
    <row r="50" spans="8:18" ht="18" thickTop="1" thickBot="1" x14ac:dyDescent="0.25">
      <c r="H50" s="189" t="str">
        <v>Grondverzet - totaal</v>
      </c>
      <c r="I50" s="55">
        <f>K48*K49</f>
        <v>3800</v>
      </c>
      <c r="J50" s="62"/>
      <c r="K50" s="176">
        <f>IF(ISBLANK(J50),I50,J50)</f>
        <v>3800</v>
      </c>
      <c r="L50" s="190" t="s">
        <v>48</v>
      </c>
      <c r="N50" s="109" t="str" cm="1">
        <f t="array" ref="N50:N53">CultCost02[[#All],[Energieverbruik en water]]</f>
        <v>Energieverbruik en water</v>
      </c>
      <c r="O50" s="90" t="s">
        <v>25</v>
      </c>
      <c r="P50" s="92" t="s">
        <v>26</v>
      </c>
      <c r="Q50" s="65">
        <f>SUM(Q51:Q53)</f>
        <v>100</v>
      </c>
      <c r="R50" s="184" t="s">
        <v>48</v>
      </c>
    </row>
    <row r="51" spans="8:18" ht="18" thickTop="1" thickBot="1" x14ac:dyDescent="0.25">
      <c r="H51" s="187" t="str">
        <v>Grondtoevoer - kuub per hectare</v>
      </c>
      <c r="I51" s="69" t="s">
        <v>54</v>
      </c>
      <c r="J51" s="62"/>
      <c r="K51" s="178" cm="1">
        <f t="array" ref="K51">IF(ISBLANK(J51),INDEX(CultInvest01[[#All],[Geen]:[Waarde MIN]],_xlfn.XMATCH('SCENARIO 4 - Vrij invulbaar'!H51,CultInvest01[[#All],[Teelt - Investeringen perceel]]),_xlfn.XMATCH('SCENARIO 4 - Vrij invulbaar'!I51,CultInvest01[[#Headers],[Geen]:[Waarde MIN]])),J51)</f>
        <v>400</v>
      </c>
      <c r="L51" s="185" t="s">
        <v>65</v>
      </c>
      <c r="N51" s="189" t="str">
        <v>Elektraverbruik irrigatie en peilbeheer</v>
      </c>
      <c r="O51" s="69" t="s">
        <v>54</v>
      </c>
      <c r="P51" s="62"/>
      <c r="Q51" s="176" cm="1">
        <f t="array" ref="Q51">IF(ISBLANK(P51),INDEX(CultCost02[[#All],[Geen]:[Waarde MIN]],_xlfn.XMATCH('SCENARIO 4 - Vrij invulbaar'!N51,CultCost02[[#All],[Energieverbruik en water]]),_xlfn.XMATCH('SCENARIO 4 - Vrij invulbaar'!O51,CultCost02[[#Headers],[Geen]:[Waarde MIN]])),P51)</f>
        <v>25</v>
      </c>
      <c r="R51" s="190" t="s">
        <v>48</v>
      </c>
    </row>
    <row r="52" spans="8:18" ht="18" thickTop="1" thickBot="1" x14ac:dyDescent="0.25">
      <c r="H52" s="187" t="str">
        <v>Grondtoevoer - prijs per kuub</v>
      </c>
      <c r="I52" s="69" t="s">
        <v>54</v>
      </c>
      <c r="J52" s="62"/>
      <c r="K52" s="178" cm="1">
        <f t="array" ref="K52">IF(ISBLANK(J52),INDEX(CultInvest01[[#All],[Geen]:[Waarde MIN]],_xlfn.XMATCH('SCENARIO 4 - Vrij invulbaar'!H52,CultInvest01[[#All],[Teelt - Investeringen perceel]]),_xlfn.XMATCH('SCENARIO 4 - Vrij invulbaar'!I52,CultInvest01[[#Headers],[Geen]:[Waarde MIN]])),J52)</f>
        <v>3</v>
      </c>
      <c r="L52" s="185" t="s">
        <v>66</v>
      </c>
      <c r="N52" s="189" t="str">
        <v xml:space="preserve">Elektraverbruik overig </v>
      </c>
      <c r="O52" s="69" t="s">
        <v>54</v>
      </c>
      <c r="P52" s="62"/>
      <c r="Q52" s="176" cm="1">
        <f t="array" ref="Q52">IF(ISBLANK(P52),INDEX(CultCost02[[#All],[Geen]:[Waarde MIN]],_xlfn.XMATCH('SCENARIO 4 - Vrij invulbaar'!N52,CultCost02[[#All],[Energieverbruik en water]]),_xlfn.XMATCH('SCENARIO 4 - Vrij invulbaar'!O52,CultCost02[[#Headers],[Geen]:[Waarde MIN]])),P52)</f>
        <v>25</v>
      </c>
      <c r="R52" s="190" t="s">
        <v>48</v>
      </c>
    </row>
    <row r="53" spans="8:18" ht="18" thickTop="1" thickBot="1" x14ac:dyDescent="0.25">
      <c r="H53" s="189" t="str">
        <v>Grondtoevoer - totaal</v>
      </c>
      <c r="I53" s="55">
        <f>K51*K52</f>
        <v>1200</v>
      </c>
      <c r="J53" s="62"/>
      <c r="K53" s="176">
        <f>IF(ISBLANK(J53),I53,J53)</f>
        <v>1200</v>
      </c>
      <c r="L53" s="190" t="s">
        <v>48</v>
      </c>
      <c r="N53" s="189" t="str">
        <v>Heffingen waterverbruik</v>
      </c>
      <c r="O53" s="69" t="s">
        <v>54</v>
      </c>
      <c r="P53" s="62"/>
      <c r="Q53" s="176" cm="1">
        <f t="array" ref="Q53">IF(ISBLANK(P53),INDEX(CultCost02[[#All],[Geen]:[Waarde MIN]],_xlfn.XMATCH('SCENARIO 4 - Vrij invulbaar'!N53,CultCost02[[#All],[Energieverbruik en water]]),_xlfn.XMATCH('SCENARIO 4 - Vrij invulbaar'!O53,CultCost02[[#Headers],[Geen]:[Waarde MIN]])),P53)</f>
        <v>50</v>
      </c>
      <c r="R53" s="190" t="s">
        <v>48</v>
      </c>
    </row>
    <row r="54" spans="8:18" ht="18" thickTop="1" thickBot="1" x14ac:dyDescent="0.25">
      <c r="H54" s="187" t="str">
        <v>Watertoevoer - meter leiding per hectare</v>
      </c>
      <c r="I54" s="69" t="s">
        <v>54</v>
      </c>
      <c r="J54" s="62"/>
      <c r="K54" s="178" cm="1">
        <f t="array" ref="K54">IF(ISBLANK(J54),INDEX(CultInvest01[[#All],[Geen]:[Waarde MIN]],_xlfn.XMATCH('SCENARIO 4 - Vrij invulbaar'!H54,CultInvest01[[#All],[Teelt - Investeringen perceel]]),_xlfn.XMATCH('SCENARIO 4 - Vrij invulbaar'!I54,CultInvest01[[#Headers],[Geen]:[Waarde MIN]])),J54)</f>
        <v>10</v>
      </c>
      <c r="L54" s="185" t="s">
        <v>888</v>
      </c>
      <c r="N54" s="79"/>
      <c r="O54" s="171"/>
      <c r="P54" s="171"/>
      <c r="Q54" s="171"/>
      <c r="R54" s="80"/>
    </row>
    <row r="55" spans="8:18" ht="18" thickTop="1" thickBot="1" x14ac:dyDescent="0.25">
      <c r="H55" s="187" t="str">
        <v>Watertoevoer - prijs per meter leiding</v>
      </c>
      <c r="I55" s="69" t="s">
        <v>54</v>
      </c>
      <c r="J55" s="62"/>
      <c r="K55" s="178" cm="1">
        <f t="array" ref="K55">IF(ISBLANK(J55),INDEX(CultInvest01[[#All],[Geen]:[Waarde MIN]],_xlfn.XMATCH('SCENARIO 4 - Vrij invulbaar'!H55,CultInvest01[[#All],[Teelt - Investeringen perceel]]),_xlfn.XMATCH('SCENARIO 4 - Vrij invulbaar'!I55,CultInvest01[[#Headers],[Geen]:[Waarde MIN]])),J55)</f>
        <v>10</v>
      </c>
      <c r="L55" s="185" t="s">
        <v>889</v>
      </c>
      <c r="N55" s="109" t="str" cm="1">
        <f t="array" ref="N55:N57">CultCost03[[#All],[Belastingen en verzekeringen]]</f>
        <v>Belastingen en verzekeringen</v>
      </c>
      <c r="O55" s="90" t="s">
        <v>25</v>
      </c>
      <c r="P55" s="92" t="s">
        <v>26</v>
      </c>
      <c r="Q55" s="123">
        <f>SUM(Q56:Q57)</f>
        <v>148.4</v>
      </c>
      <c r="R55" s="184" t="s">
        <v>48</v>
      </c>
    </row>
    <row r="56" spans="8:18" ht="18" thickTop="1" thickBot="1" x14ac:dyDescent="0.25">
      <c r="H56" s="207" t="str">
        <v>Watertoevoer - totaal</v>
      </c>
      <c r="I56" s="55">
        <f>K54*K55</f>
        <v>100</v>
      </c>
      <c r="J56" s="62"/>
      <c r="K56" s="176">
        <f>IF(ISBLANK(J56),I56,J56)</f>
        <v>100</v>
      </c>
      <c r="L56" s="190" t="s">
        <v>48</v>
      </c>
      <c r="N56" s="189" t="str">
        <v>Waterschapsbelasting</v>
      </c>
      <c r="O56" s="69" t="s">
        <v>54</v>
      </c>
      <c r="P56" s="62"/>
      <c r="Q56" s="194" cm="1">
        <f t="array" ref="Q56">IF(ISBLANK(P56),INDEX(CultCost03[[#All],[Geen]:[Waarde MIN]],_xlfn.XMATCH('SCENARIO 4 - Vrij invulbaar'!N56,CultCost03[[#All],[Belastingen en verzekeringen]]),_xlfn.XMATCH('SCENARIO 4 - Vrij invulbaar'!O56,CultCost03[[#Headers],[Geen]:[Waarde MIN]])),P56)</f>
        <v>73.400000000000006</v>
      </c>
      <c r="R56" s="190" t="s">
        <v>48</v>
      </c>
    </row>
    <row r="57" spans="8:18" ht="18" thickTop="1" thickBot="1" x14ac:dyDescent="0.25">
      <c r="H57" s="187" t="str">
        <v>Waterafvoer - meter leiding per hectare</v>
      </c>
      <c r="I57" s="69" t="s">
        <v>54</v>
      </c>
      <c r="J57" s="62"/>
      <c r="K57" s="178" cm="1">
        <f t="array" ref="K57">IF(ISBLANK(J57),INDEX(CultInvest01[[#All],[Geen]:[Waarde MIN]],_xlfn.XMATCH('SCENARIO 4 - Vrij invulbaar'!H57,CultInvest01[[#All],[Teelt - Investeringen perceel]]),_xlfn.XMATCH('SCENARIO 4 - Vrij invulbaar'!I57,CultInvest01[[#Headers],[Geen]:[Waarde MIN]])),J57)</f>
        <v>10</v>
      </c>
      <c r="L57" s="185" t="s">
        <v>888</v>
      </c>
      <c r="N57" s="189" t="str">
        <v>Verzekeringen</v>
      </c>
      <c r="O57" s="69" t="s">
        <v>54</v>
      </c>
      <c r="P57" s="62"/>
      <c r="Q57" s="195" cm="1">
        <f t="array" ref="Q57">IF(ISBLANK(P57),INDEX(CultCost03[[#All],[Geen]:[Waarde MIN]],_xlfn.XMATCH('SCENARIO 4 - Vrij invulbaar'!N57,CultCost03[[#All],[Belastingen en verzekeringen]]),_xlfn.XMATCH('SCENARIO 4 - Vrij invulbaar'!O57,CultCost03[[#Headers],[Geen]:[Waarde MIN]])),P57)</f>
        <v>75</v>
      </c>
      <c r="R57" s="190" t="s">
        <v>48</v>
      </c>
    </row>
    <row r="58" spans="8:18" ht="18" thickTop="1" thickBot="1" x14ac:dyDescent="0.25">
      <c r="H58" s="187" t="str">
        <v>Waterafvoer - prijs per meter leiding</v>
      </c>
      <c r="I58" s="69" t="s">
        <v>54</v>
      </c>
      <c r="J58" s="62"/>
      <c r="K58" s="178" cm="1">
        <f t="array" ref="K58">IF(ISBLANK(J58),INDEX(CultInvest01[[#All],[Geen]:[Waarde MIN]],_xlfn.XMATCH('SCENARIO 4 - Vrij invulbaar'!H58,CultInvest01[[#All],[Teelt - Investeringen perceel]]),_xlfn.XMATCH('SCENARIO 4 - Vrij invulbaar'!I58,CultInvest01[[#Headers],[Geen]:[Waarde MIN]])),J58)</f>
        <v>10</v>
      </c>
      <c r="L58" s="185" t="s">
        <v>889</v>
      </c>
      <c r="N58" s="79"/>
      <c r="O58" s="171"/>
      <c r="P58" s="171"/>
      <c r="Q58" s="171"/>
      <c r="R58" s="80"/>
    </row>
    <row r="59" spans="8:18" ht="18" thickTop="1" thickBot="1" x14ac:dyDescent="0.25">
      <c r="H59" s="189" t="str">
        <v>Waterafvoer - totaal</v>
      </c>
      <c r="I59" s="55">
        <f>K57*K58</f>
        <v>100</v>
      </c>
      <c r="J59" s="62"/>
      <c r="K59" s="176">
        <f>IF(ISBLANK(J59),I59,J59)</f>
        <v>100</v>
      </c>
      <c r="L59" s="190" t="s">
        <v>48</v>
      </c>
      <c r="N59" s="109" t="str" cm="1">
        <f t="array" ref="N59:N66">CultCost04[[#All],[Onderhoud]]</f>
        <v>Onderhoud</v>
      </c>
      <c r="O59" s="90" t="s">
        <v>25</v>
      </c>
      <c r="P59" s="92" t="s">
        <v>26</v>
      </c>
      <c r="Q59" s="65">
        <f>SUM(Q60:Q66)</f>
        <v>367.5</v>
      </c>
      <c r="R59" s="184" t="s">
        <v>48</v>
      </c>
    </row>
    <row r="60" spans="8:18" ht="18" thickTop="1" thickBot="1" x14ac:dyDescent="0.25">
      <c r="H60" s="189" t="str">
        <v>Pompen - aanschaf incl. stroomvoorziening</v>
      </c>
      <c r="I60" s="69" t="s">
        <v>54</v>
      </c>
      <c r="J60" s="62"/>
      <c r="K60" s="176" cm="1">
        <f t="array" ref="K60">IF(ISBLANK(J60),INDEX(CultInvest01[[#All],[Geen]:[Waarde MIN]],_xlfn.XMATCH('SCENARIO 4 - Vrij invulbaar'!H60,CultInvest01[[#All],[Teelt - Investeringen perceel]]),_xlfn.XMATCH('SCENARIO 4 - Vrij invulbaar'!I60,CultInvest01[[#Headers],[Geen]:[Waarde MIN]])),J60)</f>
        <v>1700</v>
      </c>
      <c r="L60" s="190" t="s">
        <v>48</v>
      </c>
      <c r="N60" s="79" t="str">
        <v>Grondverzet - totaal</v>
      </c>
      <c r="O60" s="69" t="s">
        <v>54</v>
      </c>
      <c r="P60" s="62"/>
      <c r="Q60" s="56" cm="1">
        <f t="array" ref="Q60">IF(ISBLANK(P60),(SUM(K50,K53)*INDEX(CultCost04[[#All],[Geen]:[Waarde MIN]],_xlfn.XMATCH('SCENARIO 4 - Vrij invulbaar'!N60,CultCost04[[#All],[Onderhoud]]),_xlfn.XMATCH('SCENARIO 4 - Vrij invulbaar'!O60,CultCost04[[#Headers],[Geen]:[Waarde MIN]]))),P60)</f>
        <v>125</v>
      </c>
      <c r="R60" s="80" t="s">
        <v>48</v>
      </c>
    </row>
    <row r="61" spans="8:18" ht="18" thickTop="1" thickBot="1" x14ac:dyDescent="0.25">
      <c r="H61" s="189" t="str">
        <v>Waterpeilbeheersing (schuiven, slibkisten, etc.)</v>
      </c>
      <c r="I61" s="69" t="s">
        <v>54</v>
      </c>
      <c r="J61" s="62"/>
      <c r="K61" s="176" cm="1">
        <f t="array" ref="K61">IF(ISBLANK(J61),INDEX(CultInvest01[[#All],[Geen]:[Waarde MIN]],_xlfn.XMATCH('SCENARIO 4 - Vrij invulbaar'!H61,CultInvest01[[#All],[Teelt - Investeringen perceel]]),_xlfn.XMATCH('SCENARIO 4 - Vrij invulbaar'!I61,CultInvest01[[#Headers],[Geen]:[Waarde MIN]])),J61)</f>
        <v>500</v>
      </c>
      <c r="L61" s="190" t="s">
        <v>48</v>
      </c>
      <c r="N61" s="79" t="str">
        <v>Watertoevoer - totaal</v>
      </c>
      <c r="O61" s="69" t="s">
        <v>54</v>
      </c>
      <c r="P61" s="62"/>
      <c r="Q61" s="55" cm="1">
        <f t="array" ref="Q61">IF(ISBLANK(P61),(K56*INDEX(CultCost04[[#All],[Geen]:[Waarde MIN]],_xlfn.XMATCH('SCENARIO 4 - Vrij invulbaar'!N61,CultCost04[[#All],[Onderhoud]]),_xlfn.XMATCH('SCENARIO 4 - Vrij invulbaar'!O61,CultCost04[[#Headers],[Geen]:[Waarde MIN]]))),P61)</f>
        <v>5</v>
      </c>
      <c r="R61" s="80" t="s">
        <v>48</v>
      </c>
    </row>
    <row r="62" spans="8:18" s="28" customFormat="1" ht="18" thickTop="1" thickBot="1" x14ac:dyDescent="0.25">
      <c r="H62" s="79" t="str">
        <v>Afrastering &amp; vraatbescherming</v>
      </c>
      <c r="I62" s="69" t="s">
        <v>54</v>
      </c>
      <c r="J62" s="62"/>
      <c r="K62" s="176" cm="1">
        <f t="array" ref="K62">IF(ISBLANK(J62),INDEX(CultInvest01[[#All],[Geen]:[Waarde MIN]],_xlfn.XMATCH('SCENARIO 4 - Vrij invulbaar'!H62,CultInvest01[[#All],[Teelt - Investeringen perceel]]),_xlfn.XMATCH('SCENARIO 4 - Vrij invulbaar'!I62,CultInvest01[[#Headers],[Geen]:[Waarde MIN]])),J62)</f>
        <v>500</v>
      </c>
      <c r="L62" s="190" t="s">
        <v>48</v>
      </c>
      <c r="N62" s="79" t="str">
        <v>Waterafvoer - totaal</v>
      </c>
      <c r="O62" s="69" t="s">
        <v>54</v>
      </c>
      <c r="P62" s="62"/>
      <c r="Q62" s="55" cm="1">
        <f t="array" ref="Q62">IF(ISBLANK(P62),(K59*INDEX(CultCost04[[#All],[Geen]:[Waarde MIN]],_xlfn.XMATCH('SCENARIO 4 - Vrij invulbaar'!N62,CultCost04[[#All],[Onderhoud]]),_xlfn.XMATCH('SCENARIO 4 - Vrij invulbaar'!O62,CultCost04[[#Headers],[Geen]:[Waarde MIN]]))),P62)</f>
        <v>5</v>
      </c>
      <c r="R62" s="80" t="s">
        <v>48</v>
      </c>
    </row>
    <row r="63" spans="8:18" s="28" customFormat="1" ht="18" thickTop="1" thickBot="1" x14ac:dyDescent="0.25">
      <c r="H63" s="79" t="str">
        <v>Overige kosten (bijv. folie)</v>
      </c>
      <c r="I63" s="69" t="s">
        <v>54</v>
      </c>
      <c r="J63" s="62"/>
      <c r="K63" s="176" cm="1">
        <f t="array" ref="K63">IF(ISBLANK(J63),INDEX(CultInvest01[[#All],[Geen]:[Waarde MIN]],_xlfn.XMATCH('SCENARIO 4 - Vrij invulbaar'!H63,CultInvest01[[#All],[Teelt - Investeringen perceel]]),_xlfn.XMATCH('SCENARIO 4 - Vrij invulbaar'!I63,CultInvest01[[#Headers],[Geen]:[Waarde MIN]])),J63)</f>
        <v>250</v>
      </c>
      <c r="L63" s="190" t="s">
        <v>48</v>
      </c>
      <c r="N63" s="79" t="str">
        <v>Pompen - aanschaf incl. stroomvoorziening</v>
      </c>
      <c r="O63" s="69" t="s">
        <v>54</v>
      </c>
      <c r="P63" s="62"/>
      <c r="Q63" s="55" cm="1">
        <f t="array" ref="Q63">IF(ISBLANK(P63),(K60*INDEX(CultCost04[[#All],[Geen]:[Waarde MIN]],_xlfn.XMATCH('SCENARIO 4 - Vrij invulbaar'!N63,CultCost04[[#All],[Onderhoud]]),_xlfn.XMATCH('SCENARIO 4 - Vrij invulbaar'!O63,CultCost04[[#Headers],[Geen]:[Waarde MIN]]))),P63)</f>
        <v>170</v>
      </c>
      <c r="R63" s="80" t="s">
        <v>48</v>
      </c>
    </row>
    <row r="64" spans="8:18" s="28" customFormat="1" ht="18" thickTop="1" thickBot="1" x14ac:dyDescent="0.25">
      <c r="H64" s="79" t="str">
        <v>Vergunningsaanvraag</v>
      </c>
      <c r="I64" s="69" t="s">
        <v>54</v>
      </c>
      <c r="J64" s="62"/>
      <c r="K64" s="176" cm="1">
        <f t="array" ref="K64">IF(ISBLANK(J64),INDEX(CultInvest01[[#All],[Geen]:[Waarde MIN]],_xlfn.XMATCH('SCENARIO 4 - Vrij invulbaar'!H64,CultInvest01[[#All],[Teelt - Investeringen perceel]]),_xlfn.XMATCH('SCENARIO 4 - Vrij invulbaar'!I64,CultInvest01[[#Headers],[Geen]:[Waarde MIN]])),J64)</f>
        <v>150</v>
      </c>
      <c r="L64" s="190" t="s">
        <v>48</v>
      </c>
      <c r="N64" s="79" t="str">
        <v>Waterpeilbeheersing (schuiven, slibkisten, etc.)</v>
      </c>
      <c r="O64" s="69" t="s">
        <v>54</v>
      </c>
      <c r="P64" s="62"/>
      <c r="Q64" s="55" cm="1">
        <f t="array" ref="Q64">IF(ISBLANK(P64),(K61*INDEX(CultCost04[[#All],[Geen]:[Waarde MIN]],_xlfn.XMATCH('SCENARIO 4 - Vrij invulbaar'!N64,CultCost04[[#All],[Onderhoud]]),_xlfn.XMATCH('SCENARIO 4 - Vrij invulbaar'!O64,CultCost04[[#Headers],[Geen]:[Waarde MIN]]))),P64)</f>
        <v>25</v>
      </c>
      <c r="R64" s="80" t="s">
        <v>48</v>
      </c>
    </row>
    <row r="65" spans="2:36" s="28" customFormat="1" ht="18" thickTop="1" thickBot="1" x14ac:dyDescent="0.25">
      <c r="H65" s="79"/>
      <c r="I65" s="56"/>
      <c r="J65" s="176"/>
      <c r="K65" s="176"/>
      <c r="L65" s="80"/>
      <c r="N65" s="79" t="str">
        <v>Afrastering &amp; vraatbescherming</v>
      </c>
      <c r="O65" s="69" t="s">
        <v>54</v>
      </c>
      <c r="P65" s="62"/>
      <c r="Q65" s="55" cm="1">
        <f t="array" ref="Q65">IF(ISBLANK(P65),(K62*INDEX(CultCost04[[#All],[Geen]:[Waarde MIN]],_xlfn.XMATCH('SCENARIO 4 - Vrij invulbaar'!N65,CultCost04[[#All],[Onderhoud]]),_xlfn.XMATCH('SCENARIO 4 - Vrij invulbaar'!O65,CultCost04[[#Headers],[Geen]:[Waarde MIN]]))),P65)</f>
        <v>25</v>
      </c>
      <c r="R65" s="80" t="s">
        <v>48</v>
      </c>
    </row>
    <row r="66" spans="2:36" s="28" customFormat="1" ht="18" thickTop="1" thickBot="1" x14ac:dyDescent="0.25">
      <c r="H66" s="109" t="s">
        <v>67</v>
      </c>
      <c r="I66" s="90" t="s">
        <v>25</v>
      </c>
      <c r="J66" s="92" t="s">
        <v>26</v>
      </c>
      <c r="K66" s="54">
        <f>SUM(K67,K68,K70,K71,K74,K75,K76)</f>
        <v>7265</v>
      </c>
      <c r="L66" s="184" t="s">
        <v>48</v>
      </c>
      <c r="N66" s="79" t="str">
        <v>Overige kosten (bijv. folie)</v>
      </c>
      <c r="O66" s="69" t="s">
        <v>54</v>
      </c>
      <c r="P66" s="62"/>
      <c r="Q66" s="55" cm="1">
        <f t="array" ref="Q66">IF(ISBLANK(P66),(K63*INDEX(CultCost04[[#All],[Geen]:[Waarde MIN]],_xlfn.XMATCH('SCENARIO 4 - Vrij invulbaar'!N66,CultCost04[[#All],[Onderhoud]]),_xlfn.XMATCH('SCENARIO 4 - Vrij invulbaar'!O66,CultCost04[[#Headers],[Geen]:[Waarde MIN]]))),P66)</f>
        <v>12.5</v>
      </c>
      <c r="R66" s="80" t="s">
        <v>48</v>
      </c>
    </row>
    <row r="67" spans="2:36" s="28" customFormat="1" ht="18" thickTop="1" thickBot="1" x14ac:dyDescent="0.25">
      <c r="H67" s="189" t="str" cm="1">
        <f t="array" ref="H67:H76">CultInvest02[Planten / Zaaien]</f>
        <v>Klaarmaken grond - grondbewerking</v>
      </c>
      <c r="I67" s="69" t="s">
        <v>51</v>
      </c>
      <c r="J67" s="62"/>
      <c r="K67" s="176" cm="1">
        <f t="array" ref="K67">IF(ISBLANK(J67),INDEX(CultInvest02[[#Headers],[#Data],[Geen]:[Waarde MIN]],_xlfn.XMATCH('SCENARIO 4 - Vrij invulbaar'!H67,CultInvest02[[#Headers],[#Data],[Planten / Zaaien]]),_xlfn.XMATCH('SCENARIO 4 - Vrij invulbaar'!I67,CultInvest02[[#Headers],[Geen]:[Waarde MIN]])),J67)</f>
        <v>65</v>
      </c>
      <c r="L67" s="190" t="s">
        <v>48</v>
      </c>
      <c r="N67" s="79"/>
      <c r="O67" s="171"/>
      <c r="P67" s="171"/>
      <c r="Q67" s="171"/>
      <c r="R67" s="80"/>
    </row>
    <row r="68" spans="2:36" s="28" customFormat="1" ht="18" thickTop="1" thickBot="1" x14ac:dyDescent="0.25">
      <c r="H68" s="189" t="str">
        <v>Klaarmaken grond - bodemverbeteraars/bemesting</v>
      </c>
      <c r="I68" s="69" t="s">
        <v>63</v>
      </c>
      <c r="J68" s="62"/>
      <c r="K68" s="176" cm="1">
        <f t="array" ref="K68">IF(ISBLANK(J68),INDEX(CultInvest02[[#Headers],[#Data],[Geen]:[Waarde MIN]],_xlfn.XMATCH('SCENARIO 4 - Vrij invulbaar'!H68,CultInvest02[[#Headers],[#Data],[Planten / Zaaien]]),_xlfn.XMATCH('SCENARIO 4 - Vrij invulbaar'!I68,CultInvest02[[#Headers],[Geen]:[Waarde MIN]])),J68)</f>
        <v>0</v>
      </c>
      <c r="L68" s="190" t="s">
        <v>48</v>
      </c>
      <c r="N68" s="109" t="str" cm="1">
        <f t="array" ref="N68:N73">CultCost05[[#All],[Afschrijving &amp; aflossing teeltinvesteringen]]</f>
        <v>Afschrijving &amp; aflossing teeltinvesteringen</v>
      </c>
      <c r="O68" s="90" t="s">
        <v>25</v>
      </c>
      <c r="P68" s="92" t="s">
        <v>26</v>
      </c>
      <c r="Q68" s="65">
        <f>SUM(Q71,Q73)</f>
        <v>1606.8642108067806</v>
      </c>
      <c r="R68" s="184" t="s">
        <v>48</v>
      </c>
    </row>
    <row r="69" spans="2:36" s="28" customFormat="1" ht="18" thickTop="1" thickBot="1" x14ac:dyDescent="0.25">
      <c r="H69" s="187" t="str">
        <v>Plantmateriaal - prijs per m2</v>
      </c>
      <c r="I69" s="69" t="s">
        <v>54</v>
      </c>
      <c r="J69" s="62"/>
      <c r="K69" s="181" cm="1">
        <f t="array" ref="K69">IF(ISBLANK(J69),INDEX(CultInvest02[[#Headers],[#Data],[Geen]:[Waarde MIN]],_xlfn.XMATCH('SCENARIO 4 - Vrij invulbaar'!H69,CultInvest02[[#Headers],[#Data],[Planten / Zaaien]]),_xlfn.XMATCH('SCENARIO 4 - Vrij invulbaar'!I69,CultInvest02[[#Headers],[Geen]:[Waarde MIN]])),J69)</f>
        <v>0.6</v>
      </c>
      <c r="L69" s="185" t="s">
        <v>68</v>
      </c>
      <c r="N69" s="79" t="str">
        <v>Rentepercentage (wel/geen lening)</v>
      </c>
      <c r="O69" s="69" t="s">
        <v>54</v>
      </c>
      <c r="P69" s="70"/>
      <c r="Q69" s="66" cm="1">
        <f t="array" ref="Q69">IF(ISBLANK(P69),INDEX(CultCost05[[#All],[Geen]:[Waarde MIN]],_xlfn.XMATCH('SCENARIO 4 - Vrij invulbaar'!N69,CultCost05[[#All],[Afschrijving &amp; aflossing teeltinvesteringen]]),_xlfn.XMATCH('SCENARIO 4 - Vrij invulbaar'!O69,CultCost05[[#Headers],[Geen]:[Waarde MIN]])),P69)</f>
        <v>0.05</v>
      </c>
      <c r="R69" s="80"/>
    </row>
    <row r="70" spans="2:36" s="28" customFormat="1" ht="18" thickTop="1" thickBot="1" x14ac:dyDescent="0.25">
      <c r="H70" s="189" t="str">
        <v>Plantmateriaal - totaal</v>
      </c>
      <c r="I70" s="180">
        <f>K69*10000</f>
        <v>6000</v>
      </c>
      <c r="J70" s="62"/>
      <c r="K70" s="176">
        <f>IF(ISBLANK(J70),I70,J70)</f>
        <v>6000</v>
      </c>
      <c r="L70" s="190" t="s">
        <v>48</v>
      </c>
      <c r="N70" s="79" t="str">
        <v>Afschrijvingstermijn - Investeringen perceel</v>
      </c>
      <c r="O70" s="69" t="s">
        <v>54</v>
      </c>
      <c r="P70" s="62"/>
      <c r="Q70" s="56" cm="1">
        <f t="array" ref="Q70">IF(ISBLANK(P70),INDEX(CultCost05[[#All],[Geen]:[Waarde MIN]],_xlfn.XMATCH('SCENARIO 4 - Vrij invulbaar'!N70,CultCost05[[#All],[Afschrijving &amp; aflossing teeltinvesteringen]]),_xlfn.XMATCH('SCENARIO 4 - Vrij invulbaar'!O70,CultCost05[[#Headers],[Geen]:[Waarde MIN]])),P70)</f>
        <v>20</v>
      </c>
      <c r="R70" s="80" t="s">
        <v>59</v>
      </c>
    </row>
    <row r="71" spans="2:36" s="28" customFormat="1" ht="18" thickTop="1" thickBot="1" x14ac:dyDescent="0.25">
      <c r="H71" s="189" t="str">
        <v>Plantkosten - machine</v>
      </c>
      <c r="I71" s="69" t="s">
        <v>54</v>
      </c>
      <c r="J71" s="62"/>
      <c r="K71" s="176" cm="1">
        <f t="array" ref="K71">IF(ISBLANK(J71),INDEX(CultInvest02[[#Headers],[#Data],[Geen]:[Waarde MIN]],_xlfn.XMATCH('SCENARIO 4 - Vrij invulbaar'!H71,CultInvest02[[#Headers],[#Data],[Planten / Zaaien]]),_xlfn.XMATCH('SCENARIO 4 - Vrij invulbaar'!I71,CultInvest02[[#Headers],[Geen]:[Waarde MIN]])),J71)</f>
        <v>450</v>
      </c>
      <c r="L71" s="190" t="s">
        <v>48</v>
      </c>
      <c r="N71" s="79" t="str">
        <v>Teeltinvesteringen perceel - jaarlijkse afschrijving</v>
      </c>
      <c r="O71" s="56">
        <f>-PMT(Q69,Q70,K47)</f>
        <v>666.01347368273798</v>
      </c>
      <c r="P71" s="62"/>
      <c r="Q71" s="176">
        <f>IF(ISBLANK(P71),O71,P71)</f>
        <v>666.01347368273798</v>
      </c>
      <c r="R71" s="80" t="s">
        <v>48</v>
      </c>
      <c r="U71" s="38"/>
    </row>
    <row r="72" spans="2:36" s="28" customFormat="1" ht="18" thickTop="1" thickBot="1" x14ac:dyDescent="0.25">
      <c r="H72" s="187" t="str">
        <v>Plantkosten - uren per hectare</v>
      </c>
      <c r="I72" s="69" t="s">
        <v>54</v>
      </c>
      <c r="J72" s="62"/>
      <c r="K72" s="178" cm="1">
        <f t="array" ref="K72">IF(ISBLANK(J72),INDEX(CultInvest02[[#Headers],[#Data],[Geen]:[Waarde MIN]],_xlfn.XMATCH('SCENARIO 4 - Vrij invulbaar'!H72,CultInvest02[[#Headers],[#Data],[Planten / Zaaien]]),_xlfn.XMATCH('SCENARIO 4 - Vrij invulbaar'!I72,CultInvest02[[#Headers],[Geen]:[Waarde MIN]])),J72)</f>
        <v>30</v>
      </c>
      <c r="L72" s="185" t="s">
        <v>69</v>
      </c>
      <c r="N72" s="79" t="str">
        <v>Afschrijvingstermijn - Plant/zaaikosten</v>
      </c>
      <c r="O72" s="69" t="s">
        <v>54</v>
      </c>
      <c r="P72" s="62"/>
      <c r="Q72" s="56" cm="1">
        <f t="array" ref="Q72">IF(ISBLANK(P72),INDEX(CultCost05[[#All],[Geen]:[Waarde MIN]],_xlfn.XMATCH('SCENARIO 4 - Vrij invulbaar'!N72,CultCost05[[#All],[Afschrijving &amp; aflossing teeltinvesteringen]]),_xlfn.XMATCH('SCENARIO 4 - Vrij invulbaar'!O72,CultCost05[[#Headers],[Geen]:[Waarde MIN]])),P72)</f>
        <v>10</v>
      </c>
      <c r="R72" s="80" t="s">
        <v>59</v>
      </c>
    </row>
    <row r="73" spans="2:36" s="28" customFormat="1" ht="18" thickTop="1" thickBot="1" x14ac:dyDescent="0.25">
      <c r="H73" s="187" t="str">
        <v>Plantkosten - prijs per uur</v>
      </c>
      <c r="I73" s="69" t="s">
        <v>54</v>
      </c>
      <c r="J73" s="62"/>
      <c r="K73" s="178" cm="1">
        <f t="array" ref="K73">IF(ISBLANK(J73),INDEX(CultInvest02[[#Headers],[#Data],[Geen]:[Waarde MIN]],_xlfn.XMATCH('SCENARIO 4 - Vrij invulbaar'!H73,CultInvest02[[#Headers],[#Data],[Planten / Zaaien]]),_xlfn.XMATCH('SCENARIO 4 - Vrij invulbaar'!I73,CultInvest02[[#Headers],[Geen]:[Waarde MIN]])),J73)</f>
        <v>25</v>
      </c>
      <c r="L73" s="185" t="s">
        <v>57</v>
      </c>
      <c r="N73" s="79" t="str">
        <v>Plant/zaaikosten - jaarlijkse afschrijving</v>
      </c>
      <c r="O73" s="56">
        <f>-PMT(Q69,Q72,K66)</f>
        <v>940.85073712404267</v>
      </c>
      <c r="P73" s="62"/>
      <c r="Q73" s="176">
        <f>IF(ISBLANK(P73),O73,P73)</f>
        <v>940.85073712404267</v>
      </c>
      <c r="R73" s="80" t="s">
        <v>48</v>
      </c>
    </row>
    <row r="74" spans="2:36" s="28" customFormat="1" ht="18" thickTop="1" thickBot="1" x14ac:dyDescent="0.25">
      <c r="H74" s="189" t="str">
        <v>Plantkosten - arbeid totaal</v>
      </c>
      <c r="I74" s="56">
        <f>K72*K73</f>
        <v>750</v>
      </c>
      <c r="J74" s="62"/>
      <c r="K74" s="176">
        <f>IF(ISBLANK(J74),I74,J74)</f>
        <v>750</v>
      </c>
      <c r="L74" s="190" t="s">
        <v>48</v>
      </c>
      <c r="N74" s="79"/>
      <c r="O74" s="56"/>
      <c r="P74" s="176"/>
      <c r="Q74" s="176"/>
      <c r="R74" s="80"/>
    </row>
    <row r="75" spans="2:36" s="28" customFormat="1" ht="18" thickTop="1" thickBot="1" x14ac:dyDescent="0.25">
      <c r="H75" s="189" t="str">
        <v>Zaaigoed</v>
      </c>
      <c r="I75" s="69" t="s">
        <v>63</v>
      </c>
      <c r="J75" s="62"/>
      <c r="K75" s="176" cm="1">
        <f t="array" ref="K75">IF(ISBLANK(J75),INDEX(CultInvest02[[#Headers],[#Data],[Geen]:[Waarde MIN]],_xlfn.XMATCH('SCENARIO 4 - Vrij invulbaar'!H75,CultInvest02[[#Headers],[#Data],[Planten / Zaaien]]),_xlfn.XMATCH('SCENARIO 4 - Vrij invulbaar'!I75,CultInvest02[[#Headers],[Geen]:[Waarde MIN]])),J75)</f>
        <v>0</v>
      </c>
      <c r="L75" s="190" t="s">
        <v>48</v>
      </c>
      <c r="N75" s="79"/>
      <c r="O75" s="56"/>
      <c r="P75" s="176"/>
      <c r="Q75" s="176"/>
      <c r="R75" s="80"/>
    </row>
    <row r="76" spans="2:36" s="28" customFormat="1" ht="18" thickTop="1" thickBot="1" x14ac:dyDescent="0.25">
      <c r="H76" s="189" t="str">
        <v>Zaaikosten - machine + arbeid</v>
      </c>
      <c r="I76" s="69" t="s">
        <v>63</v>
      </c>
      <c r="J76" s="62"/>
      <c r="K76" s="176" cm="1">
        <f t="array" ref="K76">IF(ISBLANK(J76),INDEX(CultInvest02[[#Headers],[#Data],[Geen]:[Waarde MIN]],_xlfn.XMATCH('SCENARIO 4 - Vrij invulbaar'!H76,CultInvest02[[#Headers],[#Data],[Planten / Zaaien]]),_xlfn.XMATCH('SCENARIO 4 - Vrij invulbaar'!I76,CultInvest02[[#Headers],[Geen]:[Waarde MIN]])),J76)</f>
        <v>0</v>
      </c>
      <c r="L76" s="190" t="s">
        <v>48</v>
      </c>
      <c r="N76" s="79"/>
      <c r="O76" s="56"/>
      <c r="P76" s="176"/>
      <c r="Q76" s="176"/>
      <c r="R76" s="80"/>
    </row>
    <row r="77" spans="2:36" s="28" customFormat="1" ht="17" thickTop="1" x14ac:dyDescent="0.2">
      <c r="H77" s="81"/>
      <c r="I77" s="172"/>
      <c r="J77" s="172"/>
      <c r="K77" s="172"/>
      <c r="L77" s="82"/>
      <c r="N77" s="81"/>
      <c r="O77" s="172"/>
      <c r="P77" s="172"/>
      <c r="Q77" s="172"/>
      <c r="R77" s="82"/>
    </row>
    <row r="78" spans="2:36" s="28" customFormat="1" x14ac:dyDescent="0.2">
      <c r="K78" s="175"/>
    </row>
    <row r="79" spans="2:36" s="106" customFormat="1" ht="17" x14ac:dyDescent="0.2">
      <c r="B79" s="105" t="s">
        <v>70</v>
      </c>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row>
    <row r="80" spans="2:36" x14ac:dyDescent="0.2">
      <c r="B80" s="28"/>
      <c r="I80" s="28"/>
    </row>
    <row r="81" spans="2:20" x14ac:dyDescent="0.2">
      <c r="B81" s="87" t="s">
        <v>71</v>
      </c>
      <c r="C81" s="173"/>
      <c r="D81" s="173"/>
      <c r="E81" s="124"/>
      <c r="F81" s="85"/>
      <c r="H81" s="87" t="s">
        <v>72</v>
      </c>
      <c r="I81" s="173"/>
      <c r="J81" s="173"/>
      <c r="K81" s="124"/>
      <c r="L81" s="85"/>
      <c r="N81" s="198" t="s">
        <v>73</v>
      </c>
      <c r="O81" s="173"/>
      <c r="P81" s="173"/>
      <c r="Q81" s="173"/>
      <c r="R81" s="85"/>
    </row>
    <row r="82" spans="2:20" ht="17" thickBot="1" x14ac:dyDescent="0.25">
      <c r="B82" s="125"/>
      <c r="C82" s="171"/>
      <c r="D82" s="171"/>
      <c r="E82" s="56"/>
      <c r="F82" s="80"/>
      <c r="H82" s="125"/>
      <c r="I82" s="171"/>
      <c r="J82" s="171"/>
      <c r="K82" s="56"/>
      <c r="L82" s="80"/>
      <c r="N82" s="217"/>
      <c r="O82" s="171"/>
      <c r="P82" s="171"/>
      <c r="Q82" s="171"/>
      <c r="R82" s="80"/>
    </row>
    <row r="83" spans="2:20" ht="18" thickTop="1" thickBot="1" x14ac:dyDescent="0.25">
      <c r="B83" s="109" t="s">
        <v>74</v>
      </c>
      <c r="C83" s="503" t="s">
        <v>46</v>
      </c>
      <c r="D83" s="503"/>
      <c r="E83" s="503" t="s">
        <v>47</v>
      </c>
      <c r="F83" s="504"/>
      <c r="H83" s="89" t="s">
        <v>395</v>
      </c>
      <c r="I83" s="171"/>
      <c r="J83" s="171"/>
      <c r="K83" s="56"/>
      <c r="L83" s="80"/>
      <c r="N83" s="79" t="s">
        <v>73</v>
      </c>
      <c r="O83" s="69" t="s">
        <v>167</v>
      </c>
      <c r="P83" s="171"/>
      <c r="Q83" s="171"/>
      <c r="R83" s="80"/>
    </row>
    <row r="84" spans="2:20" ht="17" thickTop="1" x14ac:dyDescent="0.2">
      <c r="B84" s="79" t="str">
        <f>H87</f>
        <v>Blad &amp; stengelmateriaal - februari/maart</v>
      </c>
      <c r="C84" s="221">
        <f>K87</f>
        <v>11.5</v>
      </c>
      <c r="D84" s="171" t="s">
        <v>77</v>
      </c>
      <c r="E84" s="55">
        <f>C84*$E$15</f>
        <v>575</v>
      </c>
      <c r="F84" s="80" t="s">
        <v>78</v>
      </c>
      <c r="H84" s="125"/>
      <c r="I84" s="171"/>
      <c r="J84" s="171"/>
      <c r="K84" s="56"/>
      <c r="L84" s="80"/>
      <c r="N84" s="79"/>
      <c r="O84" s="171"/>
      <c r="P84" s="171"/>
      <c r="Q84" s="171"/>
      <c r="R84" s="80"/>
    </row>
    <row r="85" spans="2:20" ht="17" thickBot="1" x14ac:dyDescent="0.25">
      <c r="B85" s="79" t="str">
        <f>H90</f>
        <v>Pluis</v>
      </c>
      <c r="C85" s="221">
        <f>K90</f>
        <v>0.5</v>
      </c>
      <c r="D85" s="171" t="s">
        <v>77</v>
      </c>
      <c r="E85" s="55">
        <f>C85*$E$15</f>
        <v>25</v>
      </c>
      <c r="F85" s="80" t="s">
        <v>78</v>
      </c>
      <c r="H85" s="109" t="str" cm="1">
        <f t="array" ref="H85:H90">IF(H83='DATA - Variabelen &amp; waarden'!B158,GroteLisdodde[[#All],[Gewasopbrengsten grote lisdodde]],KleineLisdodde[[#All],[Gewasopbrengsten kleine lisdodde]])</f>
        <v>Gewasopbrengsten kleine lisdodde</v>
      </c>
      <c r="I85" s="90" t="s">
        <v>25</v>
      </c>
      <c r="J85" s="92" t="s">
        <v>26</v>
      </c>
      <c r="K85" s="56"/>
      <c r="L85" s="80"/>
      <c r="N85" s="109" t="s">
        <v>79</v>
      </c>
      <c r="O85" s="90" t="s">
        <v>25</v>
      </c>
      <c r="P85" s="92" t="s">
        <v>26</v>
      </c>
      <c r="Q85" s="171"/>
      <c r="R85" s="80"/>
    </row>
    <row r="86" spans="2:20" ht="18" thickTop="1" thickBot="1" x14ac:dyDescent="0.25">
      <c r="B86" s="79"/>
      <c r="C86" s="171"/>
      <c r="D86" s="171"/>
      <c r="E86" s="67"/>
      <c r="F86" s="80"/>
      <c r="H86" s="189" t="str">
        <v>Gehele plant - februari/maart</v>
      </c>
      <c r="I86" s="69" t="s">
        <v>54</v>
      </c>
      <c r="J86" s="62"/>
      <c r="K86" s="219" cm="1">
        <f t="array" ref="K86">IF(ISBLANK(J86),IF(H83='DATA - Variabelen &amp; waarden'!$B$158,INDEX(GroteLisdodde[[#All],[Geen]:[Waarde MIN]],_xlfn.XMATCH('SCENARIO 4 - Vrij invulbaar'!H86,GroteLisdodde[[#All],[Gewasopbrengsten grote lisdodde]]),_xlfn.XMATCH('SCENARIO 4 - Vrij invulbaar'!I86,GroteLisdodde[[#Headers],[Geen]:[Waarde MIN]])),INDEX(KleineLisdodde[[#All],[Geen]:[Waarde MIN]],_xlfn.XMATCH('SCENARIO 4 - Vrij invulbaar'!H86,KleineLisdodde[[#All],[Gewasopbrengsten kleine lisdodde]]),_xlfn.XMATCH('SCENARIO 4 - Vrij invulbaar'!I86,KleineLisdodde[[#Headers],[Geen]:[Waarde MIN]]))),'SCENARIO 4 - Vrij invulbaar'!J86)</f>
        <v>12</v>
      </c>
      <c r="L86" s="80" t="s">
        <v>77</v>
      </c>
      <c r="N86" s="187" t="s">
        <v>80</v>
      </c>
      <c r="O86" s="197">
        <f>K86*$D$15</f>
        <v>600</v>
      </c>
      <c r="P86" s="234"/>
      <c r="Q86" s="178">
        <f>IF(O83="Ja",IF(ISBLANK(P86),O86,P86),0)</f>
        <v>600</v>
      </c>
      <c r="R86" s="185" t="s">
        <v>81</v>
      </c>
    </row>
    <row r="87" spans="2:20" ht="18" thickTop="1" thickBot="1" x14ac:dyDescent="0.25">
      <c r="B87" s="109" t="s">
        <v>82</v>
      </c>
      <c r="C87" s="503" t="s">
        <v>46</v>
      </c>
      <c r="D87" s="503"/>
      <c r="E87" s="503" t="s">
        <v>47</v>
      </c>
      <c r="F87" s="504"/>
      <c r="H87" s="189" t="str">
        <v>Blad &amp; stengelmateriaal - februari/maart</v>
      </c>
      <c r="I87" s="180"/>
      <c r="J87" s="180"/>
      <c r="K87" s="219">
        <f>K86-K90</f>
        <v>11.5</v>
      </c>
      <c r="L87" s="80" t="s">
        <v>77</v>
      </c>
      <c r="N87" s="187" t="str">
        <f>'DATA - Variabelen &amp; waarden'!B274</f>
        <v>Drogestofgehalte input (feb/mrt)</v>
      </c>
      <c r="O87" s="69" t="s">
        <v>54</v>
      </c>
      <c r="P87" s="70"/>
      <c r="Q87" s="214" cm="1">
        <f t="array" ref="Q87">IF(ISBLANK(P87),INDEX(VoorDroog[[#All],[Geen]:[Waarde MIN]],_xlfn.XMATCH('SCENARIO 4 - Vrij invulbaar'!N87,VoorDroog[[#All],[Voordrogen]]),_xlfn.XMATCH('SCENARIO 4 - Vrij invulbaar'!O87,VoorDroog[[#Headers],[Geen]:[Waarde MIN]])),P87)</f>
        <v>0.6</v>
      </c>
      <c r="R87" s="185" t="s">
        <v>83</v>
      </c>
    </row>
    <row r="88" spans="2:20" ht="18" thickTop="1" thickBot="1" x14ac:dyDescent="0.25">
      <c r="B88" s="79" t="str">
        <f>H95</f>
        <v>Oogstkosten - Gehele plant/blad &amp; stengelmateriaal</v>
      </c>
      <c r="C88" s="223">
        <f>K95</f>
        <v>920</v>
      </c>
      <c r="D88" s="195" t="s">
        <v>48</v>
      </c>
      <c r="E88" s="223">
        <f>C88*$E$15</f>
        <v>46000</v>
      </c>
      <c r="F88" s="190" t="s">
        <v>49</v>
      </c>
      <c r="H88" s="187" t="str">
        <v>Pluis - gewicht pluis per aar in grammen</v>
      </c>
      <c r="I88" s="69" t="s">
        <v>54</v>
      </c>
      <c r="J88" s="62"/>
      <c r="K88" s="178" cm="1">
        <f t="array" ref="K88">IF(ISBLANK(J88),IF(H83='DATA - Variabelen &amp; waarden'!$B$158,INDEX(GroteLisdodde[[#All],[Geen]:[Waarde MIN]],_xlfn.XMATCH('SCENARIO 4 - Vrij invulbaar'!H88,GroteLisdodde[[#All],[Gewasopbrengsten grote lisdodde]]),_xlfn.XMATCH('SCENARIO 4 - Vrij invulbaar'!I88,GroteLisdodde[[#Headers],[Geen]:[Waarde MIN]])),INDEX(KleineLisdodde[[#All],[Geen]:[Waarde MIN]],_xlfn.XMATCH('SCENARIO 4 - Vrij invulbaar'!H88,KleineLisdodde[[#All],[Gewasopbrengsten kleine lisdodde]]),_xlfn.XMATCH('SCENARIO 4 - Vrij invulbaar'!I88,KleineLisdodde[[#Headers],[Geen]:[Waarde MIN]]))),'SCENARIO 4 - Vrij invulbaar'!J88)</f>
        <v>10</v>
      </c>
      <c r="L88" s="185" t="s">
        <v>84</v>
      </c>
      <c r="N88" s="207" t="s">
        <v>85</v>
      </c>
      <c r="O88" s="104"/>
      <c r="P88" s="104"/>
      <c r="Q88" s="176">
        <f>IFERROR(Q86/Q87,0)</f>
        <v>1000</v>
      </c>
      <c r="R88" s="190" t="s">
        <v>86</v>
      </c>
    </row>
    <row r="89" spans="2:20" ht="18" thickTop="1" thickBot="1" x14ac:dyDescent="0.25">
      <c r="B89" s="79" t="str">
        <f>H105</f>
        <v>Opslag - Plant/blad &amp; stengelmateriaal</v>
      </c>
      <c r="C89" s="223">
        <f>IFERROR(E89/$E$15,0)</f>
        <v>92</v>
      </c>
      <c r="D89" s="195" t="s">
        <v>48</v>
      </c>
      <c r="E89" s="223">
        <f>SUM(K104,K106)*E84</f>
        <v>4600</v>
      </c>
      <c r="F89" s="190" t="s">
        <v>49</v>
      </c>
      <c r="H89" s="187" t="str">
        <v>Pluis - aren per m2</v>
      </c>
      <c r="I89" s="69" t="s">
        <v>54</v>
      </c>
      <c r="J89" s="62"/>
      <c r="K89" s="178" cm="1">
        <f t="array" ref="K89">IF(ISBLANK(J89),IF(H83='DATA - Variabelen &amp; waarden'!$B$158,INDEX(GroteLisdodde[[#All],[Geen]:[Waarde MIN]],_xlfn.XMATCH('SCENARIO 4 - Vrij invulbaar'!H89,GroteLisdodde[[#All],[Gewasopbrengsten grote lisdodde]]),_xlfn.XMATCH('SCENARIO 4 - Vrij invulbaar'!I89,GroteLisdodde[[#Headers],[Geen]:[Waarde MIN]])),INDEX(KleineLisdodde[[#All],[Geen]:[Waarde MIN]],_xlfn.XMATCH('SCENARIO 4 - Vrij invulbaar'!H89,KleineLisdodde[[#All],[Gewasopbrengsten kleine lisdodde]]),_xlfn.XMATCH('SCENARIO 4 - Vrij invulbaar'!I89,KleineLisdodde[[#Headers],[Geen]:[Waarde MIN]]))),'SCENARIO 4 - Vrij invulbaar'!J89)</f>
        <v>5</v>
      </c>
      <c r="L89" s="185" t="s">
        <v>87</v>
      </c>
      <c r="N89" s="187" t="str">
        <f>'DATA - Variabelen &amp; waarden'!B275</f>
        <v xml:space="preserve">Drogestofgehalte output </v>
      </c>
      <c r="O89" s="69" t="s">
        <v>54</v>
      </c>
      <c r="P89" s="62"/>
      <c r="Q89" s="214" cm="1">
        <f t="array" ref="Q89">IF(ISBLANK(P89),INDEX(VoorDroog[[#All],[Geen]:[Waarde MIN]],_xlfn.XMATCH('SCENARIO 4 - Vrij invulbaar'!N89,VoorDroog[[#All],[Voordrogen]]),_xlfn.XMATCH('SCENARIO 4 - Vrij invulbaar'!O89,VoorDroog[[#Headers],[Geen]:[Waarde MIN]])),P89)</f>
        <v>0.9</v>
      </c>
      <c r="R89" s="185" t="s">
        <v>83</v>
      </c>
    </row>
    <row r="90" spans="2:20" ht="17" thickTop="1" x14ac:dyDescent="0.2">
      <c r="B90" s="79" t="str">
        <f>H112</f>
        <v>Oogstkosten - Pluis</v>
      </c>
      <c r="C90" s="223">
        <f>K112</f>
        <v>825</v>
      </c>
      <c r="D90" s="195" t="s">
        <v>48</v>
      </c>
      <c r="E90" s="223">
        <f>C90*$E$15</f>
        <v>41250</v>
      </c>
      <c r="F90" s="190" t="s">
        <v>49</v>
      </c>
      <c r="H90" s="79" t="str">
        <v>Pluis</v>
      </c>
      <c r="I90" s="221">
        <f>K88*K89*10000/1000000</f>
        <v>0.5</v>
      </c>
      <c r="J90" s="62"/>
      <c r="K90" s="220">
        <f>IF(ISBLANK(J90),I90,J90)</f>
        <v>0.5</v>
      </c>
      <c r="L90" s="80" t="s">
        <v>77</v>
      </c>
      <c r="N90" s="207" t="s">
        <v>88</v>
      </c>
      <c r="O90" s="195"/>
      <c r="P90" s="195"/>
      <c r="Q90" s="223">
        <f>IFERROR(IF($Q$87&lt;$Q$89,Q86/Q89,0),0)</f>
        <v>666.66666666666663</v>
      </c>
      <c r="R90" s="190" t="s">
        <v>86</v>
      </c>
    </row>
    <row r="91" spans="2:20" s="395" customFormat="1" ht="17" thickBot="1" x14ac:dyDescent="0.25">
      <c r="B91" s="79" t="str">
        <f>H122</f>
        <v>Opslag - Pluis</v>
      </c>
      <c r="C91" s="223">
        <f>IFERROR(E91/$E$15,0)</f>
        <v>16.5</v>
      </c>
      <c r="D91" s="195" t="s">
        <v>48</v>
      </c>
      <c r="E91" s="223">
        <f>SUM(K121,K123)*E85</f>
        <v>825</v>
      </c>
      <c r="F91" s="190" t="s">
        <v>49</v>
      </c>
      <c r="H91" s="227"/>
      <c r="I91" s="228"/>
      <c r="J91" s="228"/>
      <c r="K91" s="229"/>
      <c r="L91" s="230"/>
      <c r="N91" s="233" t="s">
        <v>89</v>
      </c>
      <c r="O91" s="224"/>
      <c r="P91" s="224"/>
      <c r="Q91" s="244">
        <f>IF(Q87&lt;Q89,Q88-Q90,0)</f>
        <v>333.33333333333337</v>
      </c>
      <c r="R91" s="225" t="s">
        <v>86</v>
      </c>
    </row>
    <row r="92" spans="2:20" ht="18" thickTop="1" thickBot="1" x14ac:dyDescent="0.25">
      <c r="B92" s="245" t="s">
        <v>90</v>
      </c>
      <c r="C92" s="223">
        <f>IFERROR(E92/$E$15,0)</f>
        <v>2786.666666666667</v>
      </c>
      <c r="D92" s="247" t="s">
        <v>48</v>
      </c>
      <c r="E92" s="246">
        <f>Q115</f>
        <v>139333.33333333334</v>
      </c>
      <c r="F92" s="248" t="s">
        <v>49</v>
      </c>
      <c r="N92" s="199" t="s">
        <v>91</v>
      </c>
      <c r="O92" s="69" t="s">
        <v>54</v>
      </c>
      <c r="P92" s="242"/>
      <c r="Q92" s="68" cm="1">
        <f t="array" ref="Q92">IF(ISBLANK(P92),_xlfn.XLOOKUP(O92,Tabel37[[#Headers],[Geen]:[Waarde MIN]],'DATA - Variabelen &amp; waarden'!D382:G382,"Selecteer waarde"),P92)</f>
        <v>5</v>
      </c>
      <c r="R92" s="190" t="s">
        <v>92</v>
      </c>
      <c r="T92" s="28"/>
    </row>
    <row r="93" spans="2:20" ht="17" thickTop="1" x14ac:dyDescent="0.2">
      <c r="B93" s="118" t="s">
        <v>93</v>
      </c>
      <c r="C93" s="249">
        <f>SUM(C88:C92)</f>
        <v>4640.166666666667</v>
      </c>
      <c r="D93" s="249" t="s">
        <v>48</v>
      </c>
      <c r="E93" s="249">
        <f>SUM(E88:E92)</f>
        <v>232008.33333333334</v>
      </c>
      <c r="F93" s="250" t="s">
        <v>49</v>
      </c>
      <c r="H93" s="345" t="s">
        <v>94</v>
      </c>
      <c r="I93" s="347"/>
      <c r="J93" s="347"/>
      <c r="K93" s="372"/>
      <c r="L93" s="349"/>
      <c r="N93" s="79"/>
      <c r="O93" s="171"/>
      <c r="P93" s="171"/>
      <c r="Q93" s="171"/>
      <c r="R93" s="80"/>
    </row>
    <row r="94" spans="2:20" x14ac:dyDescent="0.2">
      <c r="H94" s="352"/>
      <c r="I94" s="171"/>
      <c r="J94" s="171"/>
      <c r="K94" s="56"/>
      <c r="L94" s="373"/>
      <c r="N94" s="109" t="s">
        <v>95</v>
      </c>
      <c r="O94" s="90" t="s">
        <v>25</v>
      </c>
      <c r="P94" s="92" t="s">
        <v>26</v>
      </c>
      <c r="Q94" s="171"/>
      <c r="R94" s="80"/>
    </row>
    <row r="95" spans="2:20" ht="17" thickBot="1" x14ac:dyDescent="0.25">
      <c r="H95" s="387" t="s">
        <v>643</v>
      </c>
      <c r="I95" s="90" t="s">
        <v>25</v>
      </c>
      <c r="J95" s="92" t="s">
        <v>26</v>
      </c>
      <c r="K95" s="54">
        <f>SUM(K101,K98)</f>
        <v>920</v>
      </c>
      <c r="L95" s="374" t="s">
        <v>48</v>
      </c>
      <c r="N95" s="187" t="s">
        <v>96</v>
      </c>
      <c r="O95" s="104"/>
      <c r="P95" s="258">
        <v>85</v>
      </c>
      <c r="Q95" s="104">
        <f>P95</f>
        <v>85</v>
      </c>
      <c r="R95" s="185" t="s">
        <v>97</v>
      </c>
    </row>
    <row r="96" spans="2:20" ht="18" thickTop="1" thickBot="1" x14ac:dyDescent="0.25">
      <c r="F96" s="28"/>
      <c r="H96" s="383" t="s">
        <v>411</v>
      </c>
      <c r="I96" s="69" t="s">
        <v>54</v>
      </c>
      <c r="J96" s="62"/>
      <c r="K96" s="178" cm="1">
        <f t="array" ref="K96">IF(ISBLANK(J96),INDEX(HarvestCost01[[#All],[Geen]:[Waarde MIN]],_xlfn.XMATCH('SCENARIO 4 - Vrij invulbaar'!H96,HarvestCost01[[#All],[Oogst - tarief - Gehele plant/blad &amp; stengelmateriaal]]),_xlfn.XMATCH('SCENARIO 4 - Vrij invulbaar'!I96,HarvestCost01[[#Headers],[Geen]:[Waarde MIN]])),J96)</f>
        <v>150</v>
      </c>
      <c r="L96" s="378" t="s">
        <v>57</v>
      </c>
      <c r="N96" s="237" t="s">
        <v>99</v>
      </c>
      <c r="O96" s="239" t="s">
        <v>54</v>
      </c>
      <c r="P96" s="258"/>
      <c r="Q96" s="236" cm="1">
        <f t="array" ref="Q96">IF(ISBLANK(P96),INDEX(ProcesCost01[[#All],[Geen]:[Waarde MIN]],_xlfn.XMATCH('SCENARIO 4 - Vrij invulbaar'!N96,ProcesCost01[[#All],[Transportkosten]]),_xlfn.XMATCH('SCENARIO 4 - Vrij invulbaar'!O96,ProcesCost01[[#Headers],[Geen]:[Waarde MIN]])),P96)</f>
        <v>0.04</v>
      </c>
      <c r="R96" s="185" t="s">
        <v>100</v>
      </c>
    </row>
    <row r="97" spans="2:18" ht="18" thickTop="1" thickBot="1" x14ac:dyDescent="0.25">
      <c r="H97" s="376" t="s">
        <v>642</v>
      </c>
      <c r="I97" s="69" t="s">
        <v>54</v>
      </c>
      <c r="J97" s="62"/>
      <c r="K97" s="385" cm="1">
        <f t="array" ref="K97">IF(ISBLANK(J97),INDEX('DATA - Variabelen &amp; waarden'!D189:G198,_xlfn.XMATCH('SCENARIO 4 - Vrij invulbaar'!H96,'DATA - Variabelen &amp; waarden'!B189:B198),_xlfn.XMATCH('SCENARIO 4 - Vrij invulbaar'!I97,'DATA - Variabelen &amp; waarden'!D189:G189)),J97)</f>
        <v>4</v>
      </c>
      <c r="L97" s="386" t="s">
        <v>55</v>
      </c>
      <c r="N97" s="207" t="s">
        <v>101</v>
      </c>
      <c r="O97" s="171"/>
      <c r="P97" s="62"/>
      <c r="Q97" s="176">
        <f>IF(ISBLANK(P97),IF($Q$87&lt;$Q$89,Q95*Q96*Q88,0),P97)</f>
        <v>3400</v>
      </c>
      <c r="R97" s="80" t="s">
        <v>102</v>
      </c>
    </row>
    <row r="98" spans="2:18" ht="18" thickTop="1" thickBot="1" x14ac:dyDescent="0.25">
      <c r="H98" s="384" t="s">
        <v>641</v>
      </c>
      <c r="I98" s="370">
        <f>K96*K97</f>
        <v>600</v>
      </c>
      <c r="J98" s="62"/>
      <c r="K98" s="176">
        <f>IF(ISBLANK(J98),I98,J98)</f>
        <v>600</v>
      </c>
      <c r="L98" s="342" t="s">
        <v>48</v>
      </c>
      <c r="N98" s="200"/>
      <c r="O98" s="171"/>
      <c r="P98" s="171"/>
      <c r="Q98" s="171"/>
      <c r="R98" s="80"/>
    </row>
    <row r="99" spans="2:18" ht="18" thickTop="1" thickBot="1" x14ac:dyDescent="0.25">
      <c r="H99" s="376" t="str">
        <f>HarvestCost11[[#Headers],[Veld &amp; opslaglogistiek - tarief - Gehele plant/blad &amp; stengelmateriaal]]</f>
        <v>Veld &amp; opslaglogistiek - tarief - Gehele plant/blad &amp; stengelmateriaal</v>
      </c>
      <c r="I99" s="69" t="s">
        <v>54</v>
      </c>
      <c r="J99" s="62"/>
      <c r="K99" s="385" cm="1">
        <f t="array" ref="K99">IF(ISBLANK(J99),_xlfn.XLOOKUP(I99,HarvestCost11[[#Headers],[Geen]:[Waarde MIN]],HarvestCost11[[#Totals],[Geen]:[Waarde MIN]]),J99)</f>
        <v>80</v>
      </c>
      <c r="L99" s="386" t="s">
        <v>57</v>
      </c>
      <c r="N99" s="187" t="s">
        <v>105</v>
      </c>
      <c r="O99" s="104"/>
      <c r="P99" s="258">
        <v>85</v>
      </c>
      <c r="Q99" s="104">
        <f>P99</f>
        <v>85</v>
      </c>
      <c r="R99" s="185" t="s">
        <v>97</v>
      </c>
    </row>
    <row r="100" spans="2:18" ht="18" thickTop="1" thickBot="1" x14ac:dyDescent="0.25">
      <c r="H100" s="376" t="s">
        <v>640</v>
      </c>
      <c r="I100" s="69" t="s">
        <v>54</v>
      </c>
      <c r="J100" s="62"/>
      <c r="K100" s="385" cm="1">
        <f t="array" ref="K100">IF(ISBLANK(J100),INDEX('DATA - Variabelen &amp; waarden'!D189:G198,_xlfn.XMATCH('SCENARIO 4 - Vrij invulbaar'!H96,'DATA - Variabelen &amp; waarden'!B189:B198),_xlfn.XMATCH('SCENARIO 4 - Vrij invulbaar'!I100,'DATA - Variabelen &amp; waarden'!D189:G189)),J100)</f>
        <v>4</v>
      </c>
      <c r="L100" s="386" t="s">
        <v>55</v>
      </c>
      <c r="N100" s="237" t="s">
        <v>99</v>
      </c>
      <c r="O100" s="239" t="s">
        <v>54</v>
      </c>
      <c r="P100" s="258"/>
      <c r="Q100" s="236" cm="1">
        <f t="array" ref="Q100">IF(ISBLANK(P100),INDEX(ProcesCost01[[#All],[Geen]:[Waarde MIN]],_xlfn.XMATCH('SCENARIO 4 - Vrij invulbaar'!N100,ProcesCost01[[#All],[Transportkosten]]),_xlfn.XMATCH('SCENARIO 4 - Vrij invulbaar'!O100,ProcesCost01[[#Headers],[Geen]:[Waarde MIN]])),P100)</f>
        <v>0.04</v>
      </c>
      <c r="R100" s="185" t="s">
        <v>100</v>
      </c>
    </row>
    <row r="101" spans="2:18" ht="17" thickTop="1" x14ac:dyDescent="0.2">
      <c r="H101" s="384" t="s">
        <v>639</v>
      </c>
      <c r="I101" s="370">
        <f>K99*K100</f>
        <v>320</v>
      </c>
      <c r="J101" s="62"/>
      <c r="K101" s="176">
        <f>IF(ISBLANK(J101),I101,J101)</f>
        <v>320</v>
      </c>
      <c r="L101" s="342" t="s">
        <v>48</v>
      </c>
      <c r="N101" s="207" t="s">
        <v>107</v>
      </c>
      <c r="O101" s="171"/>
      <c r="P101" s="62"/>
      <c r="Q101" s="176">
        <f>IF(ISBLANK(P101),Q99*Q100*Q90,P101)</f>
        <v>2266.6666666666665</v>
      </c>
      <c r="R101" s="80" t="s">
        <v>102</v>
      </c>
    </row>
    <row r="102" spans="2:18" x14ac:dyDescent="0.2">
      <c r="H102" s="340"/>
      <c r="I102" s="341"/>
      <c r="J102" s="341"/>
      <c r="K102" s="370"/>
      <c r="L102" s="342"/>
      <c r="N102" s="200"/>
      <c r="O102" s="171"/>
      <c r="P102" s="171"/>
      <c r="Q102" s="171"/>
      <c r="R102" s="80"/>
    </row>
    <row r="103" spans="2:18" ht="17" thickBot="1" x14ac:dyDescent="0.25">
      <c r="H103" s="387" t="str">
        <f>Stock1[[#Headers],[Bewaarmethode - Plant/blad &amp; stengelmateriaal]]</f>
        <v>Bewaarmethode - Plant/blad &amp; stengelmateriaal</v>
      </c>
      <c r="I103" s="171"/>
      <c r="J103" s="171"/>
      <c r="K103" s="56"/>
      <c r="L103" s="373"/>
      <c r="N103" s="109" t="s">
        <v>111</v>
      </c>
      <c r="O103" s="90" t="s">
        <v>25</v>
      </c>
      <c r="P103" s="92" t="s">
        <v>26</v>
      </c>
      <c r="Q103" s="171"/>
      <c r="R103" s="80"/>
    </row>
    <row r="104" spans="2:18" ht="18" thickTop="1" thickBot="1" x14ac:dyDescent="0.25">
      <c r="H104" s="375" t="s">
        <v>429</v>
      </c>
      <c r="I104" s="69" t="s">
        <v>54</v>
      </c>
      <c r="J104" s="62"/>
      <c r="K104" s="56" cm="1">
        <f t="array" ref="K104">IF(ISBLANK(J104),INDEX(Stock1[[#All],[Geen]:[Waarde MIN]],_xlfn.XMATCH('SCENARIO 4 - Vrij invulbaar'!H104,Stock1[[#All],[Bewaarmethode - Plant/blad &amp; stengelmateriaal]]),_xlfn.XMATCH('SCENARIO 4 - Vrij invulbaar'!I104,Stock1[[#Headers],[Geen]:[Waarde MIN]])),J104)</f>
        <v>0</v>
      </c>
      <c r="L104" s="373" t="s">
        <v>104</v>
      </c>
      <c r="N104" s="237" t="s">
        <v>114</v>
      </c>
      <c r="O104" s="69" t="s">
        <v>54</v>
      </c>
      <c r="P104" s="77"/>
      <c r="Q104" s="240" cm="1">
        <f t="array" ref="Q104">IF(ISBLANK(P104),INDEX(DryingCost1[[#All],[Geen]:[Waarde MIN]],_xlfn.XMATCH('SCENARIO 4 - Vrij invulbaar'!N104,DryingCost1[[#All],[Drogen - Kosten]]),_xlfn.XMATCH('SCENARIO 4 - Vrij invulbaar'!O104,DryingCost1[[#Headers],[Geen]:[Waarde MIN]])),P104)</f>
        <v>400</v>
      </c>
      <c r="R104" s="185" t="s">
        <v>115</v>
      </c>
    </row>
    <row r="105" spans="2:18" ht="18" thickTop="1" thickBot="1" x14ac:dyDescent="0.25">
      <c r="H105" s="387" t="str">
        <f>Stock11[[#Headers],[Opslag - Plant/blad &amp; stengelmateriaal]]</f>
        <v>Opslag - Plant/blad &amp; stengelmateriaal</v>
      </c>
      <c r="I105" s="171"/>
      <c r="J105" s="171"/>
      <c r="K105" s="56"/>
      <c r="L105" s="373"/>
      <c r="N105" s="206" t="s">
        <v>117</v>
      </c>
      <c r="O105" s="69" t="s">
        <v>54</v>
      </c>
      <c r="P105" s="76"/>
      <c r="Q105" s="241" cm="1">
        <f t="array" ref="Q105">IF(ISBLANK(P105),INDEX(DryingCost11[[#All],[Geen]:[Waarde MIN]],_xlfn.XMATCH('SCENARIO 4 - Vrij invulbaar'!N104,DryingCost11[[#All],[Drogen - Producteffciency]]),_xlfn.XMATCH('SCENARIO 4 - Vrij invulbaar'!O105,DryingCost11[[#Headers],[Geen]:[Waarde MIN]])),P105)</f>
        <v>0.9</v>
      </c>
      <c r="R105" s="185" t="s">
        <v>58</v>
      </c>
    </row>
    <row r="106" spans="2:18" s="28" customFormat="1" ht="18" thickTop="1" thickBot="1" x14ac:dyDescent="0.25">
      <c r="B106"/>
      <c r="C106" s="203"/>
      <c r="D106" s="203"/>
      <c r="E106" s="203"/>
      <c r="F106" s="203"/>
      <c r="H106" s="375" t="s">
        <v>106</v>
      </c>
      <c r="I106" s="69" t="s">
        <v>54</v>
      </c>
      <c r="J106" s="62"/>
      <c r="K106" s="68" cm="1">
        <f t="array" ref="K106">IF(ISBLANK(J106),INDEX(Stock11[[#All],[Geen]:[Waarde MIN]],_xlfn.XMATCH('SCENARIO 4 - Vrij invulbaar'!H106,Stock11[[#All],[Opslag - Plant/blad &amp; stengelmateriaal]]),_xlfn.XMATCH('SCENARIO 4 - Vrij invulbaar'!I106,Stock11[[#Headers],[Geen]:[Waarde MIN]])),J106)</f>
        <v>8</v>
      </c>
      <c r="L106" s="373" t="s">
        <v>104</v>
      </c>
      <c r="N106" s="238" t="s">
        <v>111</v>
      </c>
      <c r="O106" s="171"/>
      <c r="P106" s="62"/>
      <c r="Q106" s="176">
        <f>IF(ISBLANK(P106),Q104*Q91,P106)</f>
        <v>133333.33333333334</v>
      </c>
      <c r="R106" s="80" t="s">
        <v>102</v>
      </c>
    </row>
    <row r="107" spans="2:18" s="28" customFormat="1" ht="18" thickTop="1" thickBot="1" x14ac:dyDescent="0.25">
      <c r="B107"/>
      <c r="C107"/>
      <c r="D107"/>
      <c r="E107"/>
      <c r="F107"/>
      <c r="H107" s="377" t="s">
        <v>108</v>
      </c>
      <c r="I107" s="171"/>
      <c r="J107" s="171"/>
      <c r="K107" s="56"/>
      <c r="L107" s="373"/>
      <c r="N107" s="207" t="s">
        <v>118</v>
      </c>
      <c r="O107" s="171"/>
      <c r="P107" s="171"/>
      <c r="Q107" s="55">
        <f>Q90*Q105</f>
        <v>600</v>
      </c>
      <c r="R107" s="80" t="s">
        <v>86</v>
      </c>
    </row>
    <row r="108" spans="2:18" s="28" customFormat="1" ht="18" thickTop="1" thickBot="1" x14ac:dyDescent="0.25">
      <c r="B108"/>
      <c r="C108"/>
      <c r="D108"/>
      <c r="E108"/>
      <c r="F108"/>
      <c r="H108" s="375" t="s">
        <v>109</v>
      </c>
      <c r="I108" s="69" t="s">
        <v>54</v>
      </c>
      <c r="J108" s="62"/>
      <c r="K108" s="178" cm="1">
        <f t="array" ref="K108">IF(ISBLANK(J108),INDEX(StockBales[[#All],[Geen]:[Waarde MIN]],_xlfn.XMATCH(H108,StockBales[[#All],[DS inhoud balen ]]),_xlfn.XMATCH('SCENARIO 4 - Vrij invulbaar'!I108,StockBales[[#Headers],[Geen]:[Waarde MIN]])),J108)</f>
        <v>299.70000000000005</v>
      </c>
      <c r="L108" s="378" t="s">
        <v>110</v>
      </c>
      <c r="N108" s="207" t="s">
        <v>120</v>
      </c>
      <c r="O108" s="171"/>
      <c r="P108" s="171"/>
      <c r="Q108" s="55">
        <f>Q90-Q107</f>
        <v>66.666666666666629</v>
      </c>
      <c r="R108" s="80" t="s">
        <v>86</v>
      </c>
    </row>
    <row r="109" spans="2:18" s="28" customFormat="1" ht="17" thickTop="1" x14ac:dyDescent="0.2">
      <c r="B109"/>
      <c r="C109"/>
      <c r="D109"/>
      <c r="E109"/>
      <c r="F109"/>
      <c r="H109" s="379" t="s">
        <v>112</v>
      </c>
      <c r="I109" s="195"/>
      <c r="J109" s="195"/>
      <c r="K109" s="176">
        <f>IF(OR(H104='DATA - Variabelen &amp; waarden'!B234,H104='DATA - Variabelen &amp; waarden'!B235,H104='DATA - Variabelen &amp; waarden'!B237),K108/1000*K104,0)</f>
        <v>0</v>
      </c>
      <c r="L109" s="380" t="s">
        <v>113</v>
      </c>
      <c r="N109" s="79"/>
      <c r="O109" s="171"/>
      <c r="P109" s="171"/>
      <c r="Q109" s="171"/>
      <c r="R109" s="80"/>
    </row>
    <row r="110" spans="2:18" s="28" customFormat="1" x14ac:dyDescent="0.2">
      <c r="B110"/>
      <c r="C110"/>
      <c r="D110"/>
      <c r="E110"/>
      <c r="F110"/>
      <c r="H110" s="379" t="s">
        <v>116</v>
      </c>
      <c r="I110" s="195"/>
      <c r="J110" s="195"/>
      <c r="K110" s="192">
        <f>IF(OR(H106='DATA - Variabelen &amp; waarden'!B244,H106='DATA - Variabelen &amp; waarden'!B245,H106='DATA - Variabelen &amp; waarden'!B246),'SCENARIO 4 - Vrij invulbaar'!K108/1000*'SCENARIO 4 - Vrij invulbaar'!K106,0)</f>
        <v>2.3976000000000002</v>
      </c>
      <c r="L110" s="380" t="s">
        <v>113</v>
      </c>
      <c r="N110" s="202" t="s">
        <v>121</v>
      </c>
      <c r="O110" s="171"/>
      <c r="P110" s="171"/>
      <c r="Q110" s="171"/>
      <c r="R110" s="80"/>
    </row>
    <row r="111" spans="2:18" s="28" customFormat="1" x14ac:dyDescent="0.2">
      <c r="B111"/>
      <c r="C111"/>
      <c r="D111"/>
      <c r="E111"/>
      <c r="F111"/>
      <c r="H111" s="352"/>
      <c r="I111" s="171"/>
      <c r="J111" s="171"/>
      <c r="K111" s="56"/>
      <c r="L111" s="373"/>
      <c r="N111" s="200" t="s">
        <v>123</v>
      </c>
      <c r="O111" s="171"/>
      <c r="P111" s="171"/>
      <c r="Q111" s="55">
        <f>Q97</f>
        <v>3400</v>
      </c>
      <c r="R111" s="80" t="s">
        <v>124</v>
      </c>
    </row>
    <row r="112" spans="2:18" s="28" customFormat="1" ht="17" thickBot="1" x14ac:dyDescent="0.25">
      <c r="B112"/>
      <c r="C112"/>
      <c r="D112"/>
      <c r="E112"/>
      <c r="F112"/>
      <c r="H112" s="387" t="s">
        <v>644</v>
      </c>
      <c r="I112" s="90" t="s">
        <v>25</v>
      </c>
      <c r="J112" s="92" t="s">
        <v>26</v>
      </c>
      <c r="K112" s="371">
        <f>SUM(K115,K118)</f>
        <v>825</v>
      </c>
      <c r="L112" s="374" t="s">
        <v>48</v>
      </c>
      <c r="N112" s="200" t="s">
        <v>125</v>
      </c>
      <c r="O112" s="171"/>
      <c r="P112" s="171"/>
      <c r="Q112" s="55">
        <f>Q101</f>
        <v>2266.6666666666665</v>
      </c>
      <c r="R112" s="80" t="s">
        <v>124</v>
      </c>
    </row>
    <row r="113" spans="2:18" s="28" customFormat="1" ht="18" thickTop="1" thickBot="1" x14ac:dyDescent="0.25">
      <c r="B113"/>
      <c r="C113"/>
      <c r="D113"/>
      <c r="E113"/>
      <c r="F113"/>
      <c r="H113" s="383" t="s">
        <v>413</v>
      </c>
      <c r="I113" s="69" t="s">
        <v>54</v>
      </c>
      <c r="J113" s="62"/>
      <c r="K113" s="385" cm="1">
        <f t="array" ref="K113">IF(ISBLANK(J113),INDEX(HarvestCost2[[#All],[Geen]:[Waarde MIN]],_xlfn.XMATCH('SCENARIO 4 - Vrij invulbaar'!H113,HarvestCost2[[#All],[Oogst - tarief - Pluis]]),_xlfn.XMATCH('SCENARIO 4 - Vrij invulbaar'!I113,HarvestCost2[[#Headers],[Geen]:[Waarde MIN]])),J113)</f>
        <v>85</v>
      </c>
      <c r="L113" s="378" t="s">
        <v>57</v>
      </c>
      <c r="N113" s="79" t="s">
        <v>111</v>
      </c>
      <c r="O113" s="171"/>
      <c r="P113" s="171"/>
      <c r="Q113" s="55">
        <f>Q106</f>
        <v>133333.33333333334</v>
      </c>
      <c r="R113" s="80" t="s">
        <v>124</v>
      </c>
    </row>
    <row r="114" spans="2:18" s="28" customFormat="1" ht="18" customHeight="1" thickTop="1" thickBot="1" x14ac:dyDescent="0.4">
      <c r="B114"/>
      <c r="C114"/>
      <c r="D114"/>
      <c r="E114"/>
      <c r="F114"/>
      <c r="H114" s="389" t="s">
        <v>642</v>
      </c>
      <c r="I114" s="388" t="s">
        <v>54</v>
      </c>
      <c r="J114" s="62"/>
      <c r="K114" s="391" cm="1">
        <f t="array" ref="K114">IF(ISBLANK(J114),INDEX('DATA - Variabelen &amp; waarden'!D214:G220,_xlfn.XMATCH('SCENARIO 4 - Vrij invulbaar'!H113,'DATA - Variabelen &amp; waarden'!B214:B220),_xlfn.XMATCH('SCENARIO 4 - Vrij invulbaar'!I114,'DATA - Variabelen &amp; waarden'!D214:G214)),J114)</f>
        <v>5</v>
      </c>
      <c r="L114" s="392" t="s">
        <v>55</v>
      </c>
      <c r="N114" s="222" t="s">
        <v>128</v>
      </c>
      <c r="O114" s="171"/>
      <c r="P114" s="171"/>
      <c r="Q114" s="235">
        <f>Q108*Q92</f>
        <v>333.33333333333314</v>
      </c>
      <c r="R114" s="80" t="s">
        <v>124</v>
      </c>
    </row>
    <row r="115" spans="2:18" s="28" customFormat="1" ht="18" thickTop="1" thickBot="1" x14ac:dyDescent="0.25">
      <c r="B115"/>
      <c r="C115"/>
      <c r="D115"/>
      <c r="E115"/>
      <c r="F115"/>
      <c r="H115" s="384" t="s">
        <v>641</v>
      </c>
      <c r="I115" s="370">
        <f>K113*K114</f>
        <v>425</v>
      </c>
      <c r="J115" s="62"/>
      <c r="K115" s="176">
        <f>IF(ISBLANK(J115),I115,J115)</f>
        <v>425</v>
      </c>
      <c r="L115" s="342" t="s">
        <v>48</v>
      </c>
      <c r="N115" s="243" t="s">
        <v>131</v>
      </c>
      <c r="O115" s="57"/>
      <c r="P115" s="57"/>
      <c r="Q115" s="65">
        <f>SUM(Q111:Q114)</f>
        <v>139333.33333333334</v>
      </c>
      <c r="R115" s="184" t="s">
        <v>49</v>
      </c>
    </row>
    <row r="116" spans="2:18" s="28" customFormat="1" ht="18" thickTop="1" thickBot="1" x14ac:dyDescent="0.25">
      <c r="B116"/>
      <c r="C116"/>
      <c r="D116"/>
      <c r="E116"/>
      <c r="F116"/>
      <c r="H116" s="376" t="str">
        <f>HarvestCost21[[#Headers],[Veld &amp; opslaglogistiek - tarief - Pluis ]]</f>
        <v xml:space="preserve">Veld &amp; opslaglogistiek - tarief - Pluis </v>
      </c>
      <c r="I116" s="69" t="s">
        <v>54</v>
      </c>
      <c r="J116" s="62"/>
      <c r="K116" s="385" cm="1">
        <f t="array" ref="K116">IF(ISBLANK(J116),_xlfn.XLOOKUP(I116,HarvestCost21[[#Headers],[Geen]:[Waarde MIN]],HarvestCost21[[#Totals],[Geen]:[Waarde MIN]]),J116)</f>
        <v>80</v>
      </c>
      <c r="L116" s="386" t="s">
        <v>57</v>
      </c>
      <c r="N116" s="207" t="s">
        <v>134</v>
      </c>
      <c r="O116" s="195"/>
      <c r="P116" s="195"/>
      <c r="Q116" s="176">
        <f>IFERROR(Q115/Q107,0)</f>
        <v>232.22222222222223</v>
      </c>
      <c r="R116" s="190" t="s">
        <v>92</v>
      </c>
    </row>
    <row r="117" spans="2:18" s="28" customFormat="1" ht="18" thickTop="1" thickBot="1" x14ac:dyDescent="0.25">
      <c r="B117"/>
      <c r="C117"/>
      <c r="D117"/>
      <c r="E117"/>
      <c r="F117"/>
      <c r="H117" s="376" t="s">
        <v>640</v>
      </c>
      <c r="I117" s="69" t="s">
        <v>54</v>
      </c>
      <c r="J117" s="62"/>
      <c r="K117" s="390" cm="1">
        <f t="array" ref="K117">IF(ISBLANK(J117),INDEX('DATA - Variabelen &amp; waarden'!D214:G220,_xlfn.XMATCH('SCENARIO 4 - Vrij invulbaar'!H113,'DATA - Variabelen &amp; waarden'!B214:B220),_xlfn.XMATCH('SCENARIO 4 - Vrij invulbaar'!I117,'DATA - Variabelen &amp; waarden'!D214:G214)),J117)</f>
        <v>5</v>
      </c>
      <c r="L117" s="386" t="s">
        <v>55</v>
      </c>
      <c r="N117" s="187"/>
      <c r="O117" s="171"/>
      <c r="P117" s="171"/>
      <c r="Q117" s="196"/>
      <c r="R117" s="185"/>
    </row>
    <row r="118" spans="2:18" s="28" customFormat="1" ht="17" thickTop="1" x14ac:dyDescent="0.2">
      <c r="B118"/>
      <c r="C118"/>
      <c r="D118"/>
      <c r="E118"/>
      <c r="F118"/>
      <c r="H118" s="384" t="s">
        <v>639</v>
      </c>
      <c r="I118" s="381">
        <f>K116*K117</f>
        <v>400</v>
      </c>
      <c r="J118" s="62"/>
      <c r="K118" s="176">
        <f>IF(ISBLANK(J118),I118,J118)</f>
        <v>400</v>
      </c>
      <c r="L118" s="342" t="s">
        <v>48</v>
      </c>
      <c r="N118" s="187"/>
      <c r="O118" s="171"/>
      <c r="P118" s="171"/>
      <c r="Q118" s="196"/>
      <c r="R118" s="185"/>
    </row>
    <row r="119" spans="2:18" s="28" customFormat="1" x14ac:dyDescent="0.2">
      <c r="B119"/>
      <c r="C119"/>
      <c r="D119"/>
      <c r="E119"/>
      <c r="F119"/>
      <c r="H119" s="340"/>
      <c r="I119" s="341"/>
      <c r="J119" s="341"/>
      <c r="K119" s="341"/>
      <c r="L119" s="342"/>
      <c r="N119" s="187"/>
      <c r="O119" s="171"/>
      <c r="P119" s="171"/>
      <c r="Q119" s="196"/>
      <c r="R119" s="185"/>
    </row>
    <row r="120" spans="2:18" s="28" customFormat="1" ht="17" thickBot="1" x14ac:dyDescent="0.25">
      <c r="B120"/>
      <c r="C120"/>
      <c r="D120"/>
      <c r="E120"/>
      <c r="F120"/>
      <c r="H120" s="387" t="str">
        <f>Stock2[[#Headers],[Bewaarmethode - Pluis]]</f>
        <v>Bewaarmethode - Pluis</v>
      </c>
      <c r="I120" s="171"/>
      <c r="J120" s="171"/>
      <c r="K120" s="370"/>
      <c r="L120" s="373"/>
      <c r="N120" s="187"/>
      <c r="O120" s="171"/>
      <c r="P120" s="171"/>
      <c r="Q120" s="196"/>
      <c r="R120" s="185"/>
    </row>
    <row r="121" spans="2:18" s="28" customFormat="1" ht="18" thickTop="1" thickBot="1" x14ac:dyDescent="0.25">
      <c r="B121"/>
      <c r="C121"/>
      <c r="D121"/>
      <c r="E121"/>
      <c r="F121"/>
      <c r="H121" s="375" t="s">
        <v>687</v>
      </c>
      <c r="I121" s="69" t="s">
        <v>54</v>
      </c>
      <c r="J121" s="62"/>
      <c r="K121" s="56" cm="1">
        <f t="array" ref="K121">IF(ISBLANK(J121),INDEX(Stock2[[#All],[Geen]:[Waarde MIN]],_xlfn.XMATCH('SCENARIO 4 - Vrij invulbaar'!H121,Stock2[[#All],[Bewaarmethode - Pluis]]),_xlfn.XMATCH('SCENARIO 4 - Vrij invulbaar'!I121,Stock2[[#Headers],[Geen]:[Waarde MIN]])),J121)</f>
        <v>25</v>
      </c>
      <c r="L121" s="373" t="s">
        <v>104</v>
      </c>
      <c r="N121" s="187"/>
      <c r="O121" s="171"/>
      <c r="P121" s="171"/>
      <c r="Q121" s="196"/>
      <c r="R121" s="185"/>
    </row>
    <row r="122" spans="2:18" s="28" customFormat="1" ht="18" thickTop="1" thickBot="1" x14ac:dyDescent="0.25">
      <c r="B122"/>
      <c r="C122"/>
      <c r="D122"/>
      <c r="E122"/>
      <c r="F122"/>
      <c r="H122" s="387" t="str">
        <f>Stock21[[#Headers],[Opslag - Pluis]]</f>
        <v>Opslag - Pluis</v>
      </c>
      <c r="I122" s="171"/>
      <c r="J122" s="171"/>
      <c r="K122" s="56"/>
      <c r="L122" s="373"/>
      <c r="N122" s="187"/>
      <c r="O122" s="171"/>
      <c r="P122" s="171"/>
      <c r="Q122" s="196"/>
      <c r="R122" s="185"/>
    </row>
    <row r="123" spans="2:18" s="28" customFormat="1" ht="18" thickTop="1" thickBot="1" x14ac:dyDescent="0.25">
      <c r="B123"/>
      <c r="C123"/>
      <c r="D123"/>
      <c r="E123"/>
      <c r="F123"/>
      <c r="H123" s="375" t="s">
        <v>106</v>
      </c>
      <c r="I123" s="69" t="s">
        <v>54</v>
      </c>
      <c r="J123" s="62"/>
      <c r="K123" s="68" cm="1">
        <f t="array" ref="K123">IF(ISBLANK(J123),INDEX(Stock21[[#All],[Geen]:[Waarde MIN]],_xlfn.XMATCH('SCENARIO 4 - Vrij invulbaar'!H123,Stock21[[#All],[Opslag - Pluis]]),_xlfn.XMATCH('SCENARIO 4 - Vrij invulbaar'!I123,Stock21[[#Headers],[Geen]:[Waarde MIN]])),J123)</f>
        <v>8</v>
      </c>
      <c r="L123" s="373" t="s">
        <v>104</v>
      </c>
      <c r="N123" s="187"/>
      <c r="O123" s="171"/>
      <c r="P123" s="171"/>
      <c r="Q123" s="196"/>
      <c r="R123" s="185"/>
    </row>
    <row r="124" spans="2:18" s="28" customFormat="1" ht="18" thickTop="1" thickBot="1" x14ac:dyDescent="0.25">
      <c r="B124"/>
      <c r="C124"/>
      <c r="D124"/>
      <c r="E124"/>
      <c r="F124"/>
      <c r="H124" s="382" t="s">
        <v>127</v>
      </c>
      <c r="I124" s="171"/>
      <c r="J124" s="171"/>
      <c r="K124" s="56"/>
      <c r="L124" s="373"/>
      <c r="N124" s="187"/>
      <c r="O124" s="171"/>
      <c r="P124" s="171"/>
      <c r="Q124" s="196"/>
      <c r="R124" s="185"/>
    </row>
    <row r="125" spans="2:18" s="28" customFormat="1" ht="18" thickTop="1" thickBot="1" x14ac:dyDescent="0.25">
      <c r="B125"/>
      <c r="C125"/>
      <c r="D125"/>
      <c r="E125"/>
      <c r="F125"/>
      <c r="H125" s="375" t="s">
        <v>129</v>
      </c>
      <c r="I125" s="69" t="s">
        <v>54</v>
      </c>
      <c r="J125" s="62"/>
      <c r="K125" s="178" cm="1">
        <f t="array" ref="K125">IF(ISBLANK(J125),INDEX(StockPluis[[#All],[Geen]:[Waarde MIN]],_xlfn.XMATCH('SCENARIO 4 - Vrij invulbaar'!H125,StockPluis[[#All],[DS inhoud big bag]]),_xlfn.XMATCH('SCENARIO 4 - Vrij invulbaar'!I125,StockPluis[[#Headers],[Geen]:[Waarde MIN]])),J125)</f>
        <v>65</v>
      </c>
      <c r="L125" s="378" t="s">
        <v>130</v>
      </c>
      <c r="N125" s="187"/>
      <c r="O125" s="171"/>
      <c r="P125" s="171"/>
      <c r="Q125" s="196"/>
      <c r="R125" s="185"/>
    </row>
    <row r="126" spans="2:18" s="28" customFormat="1" ht="17" thickTop="1" x14ac:dyDescent="0.2">
      <c r="B126"/>
      <c r="C126"/>
      <c r="D126"/>
      <c r="E126"/>
      <c r="F126"/>
      <c r="H126" s="379" t="s">
        <v>132</v>
      </c>
      <c r="I126" s="195"/>
      <c r="J126" s="195"/>
      <c r="K126" s="176">
        <f>IF(H121='DATA - Variabelen &amp; waarden'!B259,K125/1000*K121,0)</f>
        <v>0</v>
      </c>
      <c r="L126" s="380" t="s">
        <v>133</v>
      </c>
      <c r="N126" s="187"/>
      <c r="O126" s="171"/>
      <c r="P126" s="171"/>
      <c r="Q126" s="196"/>
      <c r="R126" s="185"/>
    </row>
    <row r="127" spans="2:18" s="28" customFormat="1" x14ac:dyDescent="0.2">
      <c r="B127"/>
      <c r="C127"/>
      <c r="D127"/>
      <c r="E127"/>
      <c r="F127"/>
      <c r="H127" s="379" t="s">
        <v>135</v>
      </c>
      <c r="I127" s="195"/>
      <c r="J127" s="195"/>
      <c r="K127" s="192">
        <f>IF(H123='DATA - Variabelen &amp; waarden'!B271,'SCENARIO 4 - Vrij invulbaar'!K125/1000*'SCENARIO 4 - Vrij invulbaar'!K123,0)</f>
        <v>0</v>
      </c>
      <c r="L127" s="380" t="s">
        <v>133</v>
      </c>
      <c r="N127" s="79"/>
      <c r="O127" s="171"/>
      <c r="P127" s="171"/>
      <c r="Q127" s="171"/>
      <c r="R127" s="80"/>
    </row>
    <row r="128" spans="2:18" s="28" customFormat="1" x14ac:dyDescent="0.2">
      <c r="B128"/>
      <c r="C128"/>
      <c r="D128"/>
      <c r="E128"/>
      <c r="F128"/>
      <c r="H128" s="81"/>
      <c r="I128" s="172"/>
      <c r="J128" s="172"/>
      <c r="K128" s="172"/>
      <c r="L128" s="82"/>
      <c r="N128" s="81"/>
      <c r="O128" s="172"/>
      <c r="P128" s="172"/>
      <c r="Q128" s="172"/>
      <c r="R128" s="82"/>
    </row>
    <row r="129" spans="2:36" s="28" customFormat="1" x14ac:dyDescent="0.2">
      <c r="K129" s="175"/>
    </row>
    <row r="130" spans="2:36" s="106" customFormat="1" ht="17" x14ac:dyDescent="0.2">
      <c r="B130" s="105" t="s">
        <v>136</v>
      </c>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row>
    <row r="132" spans="2:36" x14ac:dyDescent="0.2">
      <c r="B132" s="87" t="s">
        <v>137</v>
      </c>
      <c r="C132" s="173"/>
      <c r="D132" s="173"/>
      <c r="E132" s="173"/>
      <c r="F132" s="85"/>
      <c r="H132" s="87" t="s">
        <v>138</v>
      </c>
      <c r="I132" s="173"/>
      <c r="J132" s="173"/>
      <c r="K132" s="173"/>
      <c r="L132" s="85"/>
      <c r="N132" s="87" t="s">
        <v>139</v>
      </c>
      <c r="O132" s="173"/>
      <c r="P132" s="173"/>
      <c r="Q132" s="173"/>
      <c r="R132" s="85"/>
      <c r="T132" s="87" t="s">
        <v>140</v>
      </c>
      <c r="U132" s="173"/>
      <c r="V132" s="173"/>
      <c r="W132" s="173"/>
      <c r="X132" s="85"/>
      <c r="Z132" s="87" t="s">
        <v>141</v>
      </c>
      <c r="AA132" s="173"/>
      <c r="AB132" s="173"/>
      <c r="AC132" s="173"/>
      <c r="AD132" s="85"/>
      <c r="AF132" s="87" t="s">
        <v>142</v>
      </c>
      <c r="AG132" s="173"/>
      <c r="AH132" s="173"/>
      <c r="AI132" s="173"/>
      <c r="AJ132" s="85"/>
    </row>
    <row r="133" spans="2:36" x14ac:dyDescent="0.2">
      <c r="B133" s="125"/>
      <c r="C133" s="171"/>
      <c r="D133" s="171"/>
      <c r="E133" s="171"/>
      <c r="F133" s="80"/>
      <c r="H133" s="125"/>
      <c r="I133" s="171"/>
      <c r="J133" s="171"/>
      <c r="K133" s="171"/>
      <c r="L133" s="80"/>
      <c r="N133" s="125"/>
      <c r="O133" s="171"/>
      <c r="P133" s="171"/>
      <c r="Q133" s="171"/>
      <c r="R133" s="80"/>
      <c r="T133" s="125"/>
      <c r="U133" s="171"/>
      <c r="V133" s="171"/>
      <c r="W133" s="171"/>
      <c r="X133" s="80"/>
      <c r="Z133" s="125"/>
      <c r="AA133" s="171"/>
      <c r="AB133" s="171"/>
      <c r="AC133" s="171"/>
      <c r="AD133" s="80"/>
      <c r="AF133" s="125"/>
      <c r="AG133" s="171"/>
      <c r="AH133" s="171"/>
      <c r="AI133" s="171"/>
      <c r="AJ133" s="80"/>
    </row>
    <row r="134" spans="2:36" ht="17" thickBot="1" x14ac:dyDescent="0.25">
      <c r="B134" s="79"/>
      <c r="C134" s="171" t="s">
        <v>143</v>
      </c>
      <c r="D134" s="171" t="s">
        <v>144</v>
      </c>
      <c r="E134" s="171"/>
      <c r="F134" s="80"/>
      <c r="H134" s="109" t="s">
        <v>145</v>
      </c>
      <c r="I134" s="57" t="s">
        <v>146</v>
      </c>
      <c r="J134" s="171"/>
      <c r="K134" s="171"/>
      <c r="L134" s="80"/>
      <c r="N134" s="109" t="s">
        <v>145</v>
      </c>
      <c r="O134" s="57" t="s">
        <v>146</v>
      </c>
      <c r="P134" s="171"/>
      <c r="Q134" s="171"/>
      <c r="R134" s="80"/>
      <c r="T134" s="109" t="s">
        <v>145</v>
      </c>
      <c r="U134" s="57" t="s">
        <v>146</v>
      </c>
      <c r="V134" s="171"/>
      <c r="W134" s="171"/>
      <c r="X134" s="80"/>
      <c r="Z134" s="109" t="s">
        <v>145</v>
      </c>
      <c r="AA134" s="57" t="s">
        <v>146</v>
      </c>
      <c r="AB134" s="171"/>
      <c r="AC134" s="171"/>
      <c r="AD134" s="80"/>
      <c r="AF134" s="109" t="s">
        <v>145</v>
      </c>
      <c r="AG134" s="57" t="s">
        <v>146</v>
      </c>
      <c r="AH134" s="171"/>
      <c r="AI134" s="171"/>
      <c r="AJ134" s="80"/>
    </row>
    <row r="135" spans="2:36" ht="18" thickTop="1" thickBot="1" x14ac:dyDescent="0.25">
      <c r="B135" s="107" t="s">
        <v>147</v>
      </c>
      <c r="C135" s="252">
        <f>E84</f>
        <v>575</v>
      </c>
      <c r="D135" s="253">
        <f>SUMIF(C143:C147,"Blad &amp; stengelmateriaal",D143:D147)</f>
        <v>575</v>
      </c>
      <c r="E135" s="171" t="s">
        <v>78</v>
      </c>
      <c r="F135" s="80"/>
      <c r="H135" s="89" t="s">
        <v>148</v>
      </c>
      <c r="I135" s="60" t="str">
        <f>Product0129[[#Headers],[Plantdeel]]</f>
        <v>Plantdeel</v>
      </c>
      <c r="J135" s="171"/>
      <c r="K135" s="256" t="str" cm="1">
        <f t="array" ref="K135">_xlfn.XLOOKUP($H$135,Product0129[[#All],[Producten]],Product0129[[#All],[Plantdeel]])</f>
        <v>Blad &amp; stengelmateriaal</v>
      </c>
      <c r="L135" s="80"/>
      <c r="N135" s="89" t="s">
        <v>149</v>
      </c>
      <c r="O135" s="60" t="str">
        <f>Product0129[[#Headers],[Plantdeel]]</f>
        <v>Plantdeel</v>
      </c>
      <c r="P135" s="171"/>
      <c r="Q135" s="256" t="str" cm="1">
        <f t="array" ref="Q135">_xlfn.XLOOKUP($N$135,Product0129[[#All],[Producten]],Product0129[[#All],[Plantdeel]])</f>
        <v>Pluis</v>
      </c>
      <c r="R135" s="80"/>
      <c r="T135" s="89" t="s">
        <v>150</v>
      </c>
      <c r="U135" s="60" t="str">
        <f>Product0129[[#Headers],[Plantdeel]]</f>
        <v>Plantdeel</v>
      </c>
      <c r="V135" s="171"/>
      <c r="W135" s="256" t="str" cm="1">
        <f t="array" ref="W135">_xlfn.XLOOKUP($T$135,Product0129[[#All],[Producten]],Product0129[[#All],[Plantdeel]])</f>
        <v>Blad &amp; stengelmateriaal</v>
      </c>
      <c r="X135" s="80"/>
      <c r="Z135" s="89" t="s">
        <v>151</v>
      </c>
      <c r="AA135" s="60" t="str">
        <f>Product0129[[#Headers],[Plantdeel]]</f>
        <v>Plantdeel</v>
      </c>
      <c r="AB135" s="171"/>
      <c r="AC135" s="256" t="str" cm="1">
        <f t="array" ref="AC135">_xlfn.XLOOKUP($Z$135,Product0129[[#All],[Producten]],Product0129[[#All],[Plantdeel]])</f>
        <v>Blad &amp; stengelmateriaal</v>
      </c>
      <c r="AD135" s="80"/>
      <c r="AF135" s="89" t="s">
        <v>152</v>
      </c>
      <c r="AG135" s="60" t="str">
        <f>Product0129[[#Headers],[Plantdeel]]</f>
        <v>Plantdeel</v>
      </c>
      <c r="AH135" s="171"/>
      <c r="AI135" s="256" t="str" cm="1">
        <f t="array" ref="AI135">_xlfn.XLOOKUP($AF$135,Product0129[[#All],[Producten]],Product0129[[#All],[Plantdeel]])</f>
        <v>Blad &amp; stengelmateriaal</v>
      </c>
      <c r="AJ135" s="80"/>
    </row>
    <row r="136" spans="2:36" ht="17" thickTop="1" x14ac:dyDescent="0.2">
      <c r="B136" s="107" t="s">
        <v>153</v>
      </c>
      <c r="C136" s="252">
        <f>E85</f>
        <v>25</v>
      </c>
      <c r="D136" s="253">
        <f>SUMIF(C143:C147,"Pluis",D143:D147)</f>
        <v>25</v>
      </c>
      <c r="E136" s="171" t="s">
        <v>78</v>
      </c>
      <c r="F136" s="80"/>
      <c r="H136" s="79"/>
      <c r="I136" s="171" t="str">
        <f>Product0129[[#Headers],[DS-gehalte]]</f>
        <v>DS-gehalte</v>
      </c>
      <c r="J136" s="171"/>
      <c r="K136" s="257" cm="1">
        <f t="array" ref="K136">_xlfn.XLOOKUP($H$135,Product0129[[#All],[Producten]],Product0129[[#All],[DS-gehalte]])</f>
        <v>0.9</v>
      </c>
      <c r="L136" s="80"/>
      <c r="N136" s="79"/>
      <c r="O136" s="171" t="str">
        <f>Product0129[[#Headers],[DS-gehalte]]</f>
        <v>DS-gehalte</v>
      </c>
      <c r="P136" s="171"/>
      <c r="Q136" s="257" cm="1">
        <f t="array" ref="Q136">_xlfn.XLOOKUP($N$135,Product0129[[#All],[Producten]],Product0129[[#All],[DS-gehalte]])</f>
        <v>0.98</v>
      </c>
      <c r="R136" s="80"/>
      <c r="T136" s="79"/>
      <c r="U136" s="171" t="str">
        <f>Product0129[[#Headers],[DS-gehalte]]</f>
        <v>DS-gehalte</v>
      </c>
      <c r="V136" s="171"/>
      <c r="W136" s="257" cm="1">
        <f t="array" ref="W136">_xlfn.XLOOKUP($T$135,Product0129[[#All],[Producten]],Product0129[[#All],[DS-gehalte]])</f>
        <v>0.8</v>
      </c>
      <c r="X136" s="80"/>
      <c r="Z136" s="79"/>
      <c r="AA136" s="171" t="str">
        <f>Product0129[[#Headers],[DS-gehalte]]</f>
        <v>DS-gehalte</v>
      </c>
      <c r="AB136" s="171"/>
      <c r="AC136" s="257" cm="1">
        <f t="array" ref="AC136">_xlfn.XLOOKUP($Z$135,Product0129[[#All],[Producten]],Product0129[[#All],[DS-gehalte]])</f>
        <v>0.97</v>
      </c>
      <c r="AD136" s="80"/>
      <c r="AF136" s="79"/>
      <c r="AG136" s="171" t="str">
        <f>Product0129[[#Headers],[DS-gehalte]]</f>
        <v>DS-gehalte</v>
      </c>
      <c r="AH136" s="171"/>
      <c r="AI136" s="257" cm="1">
        <f t="array" ref="AI136">_xlfn.XLOOKUP($AF$135,Product0129[[#All],[Producten]],Product0129[[#All],[DS-gehalte]])</f>
        <v>0.9</v>
      </c>
      <c r="AJ136" s="80"/>
    </row>
    <row r="137" spans="2:36" x14ac:dyDescent="0.2">
      <c r="B137" s="289" t="s">
        <v>47</v>
      </c>
      <c r="C137" s="422">
        <f>SUM(C135:C136)</f>
        <v>600</v>
      </c>
      <c r="D137" s="423">
        <f>SUM(D135:D136)</f>
        <v>600</v>
      </c>
      <c r="E137" s="57" t="s">
        <v>78</v>
      </c>
      <c r="F137" s="80"/>
      <c r="H137" s="79"/>
      <c r="I137" s="171" t="str">
        <f>Product0129[[#Headers],[Fractielengte '[mm']]]</f>
        <v>Fractielengte [mm]</v>
      </c>
      <c r="J137" s="171"/>
      <c r="K137" s="256" t="str" cm="1">
        <f t="array" ref="K137">_xlfn.XLOOKUP($H$135,Product0129[[#All],[Producten]],Product0129[[#All],[Fractielengte '[mm']]])</f>
        <v>5-50</v>
      </c>
      <c r="L137" s="80"/>
      <c r="N137" s="79"/>
      <c r="O137" s="171" t="str">
        <f>Product0129[[#Headers],[Fractielengte '[mm']]]</f>
        <v>Fractielengte [mm]</v>
      </c>
      <c r="P137" s="171"/>
      <c r="Q137" s="256" t="str" cm="1">
        <f t="array" ref="Q137">_xlfn.XLOOKUP($N$135,Product0129[[#All],[Producten]],Product0129[[#All],[Fractielengte '[mm']]])</f>
        <v>Gehele pluis</v>
      </c>
      <c r="R137" s="80"/>
      <c r="T137" s="79"/>
      <c r="U137" s="171" t="str">
        <f>Product0129[[#Headers],[Fractielengte '[mm']]]</f>
        <v>Fractielengte [mm]</v>
      </c>
      <c r="V137" s="171"/>
      <c r="W137" s="256" cm="1">
        <f t="array" ref="W137">_xlfn.XLOOKUP($T$135,Product0129[[#All],[Producten]],Product0129[[#All],[Fractielengte '[mm']]])</f>
        <v>700</v>
      </c>
      <c r="X137" s="80"/>
      <c r="Z137" s="79"/>
      <c r="AA137" s="171" t="str">
        <f>Product0129[[#Headers],[Fractielengte '[mm']]]</f>
        <v>Fractielengte [mm]</v>
      </c>
      <c r="AB137" s="171"/>
      <c r="AC137" s="256" t="str" cm="1">
        <f t="array" ref="AC137">_xlfn.XLOOKUP($Z$135,Product0129[[#All],[Producten]],Product0129[[#All],[Fractielengte '[mm']]])</f>
        <v>0,1-0,35</v>
      </c>
      <c r="AD137" s="80"/>
      <c r="AF137" s="79"/>
      <c r="AG137" s="171" t="str">
        <f>Product0129[[#Headers],[Fractielengte '[mm']]]</f>
        <v>Fractielengte [mm]</v>
      </c>
      <c r="AH137" s="171"/>
      <c r="AI137" s="256" t="str" cm="1">
        <f t="array" ref="AI137">_xlfn.XLOOKUP($AF$135,Product0129[[#All],[Producten]],Product0129[[#All],[Fractielengte '[mm']]])</f>
        <v>0,5-2,5</v>
      </c>
      <c r="AJ137" s="80"/>
    </row>
    <row r="138" spans="2:36" x14ac:dyDescent="0.2">
      <c r="B138" s="81"/>
      <c r="C138" s="172"/>
      <c r="D138" s="172"/>
      <c r="E138" s="172"/>
      <c r="F138" s="82"/>
      <c r="H138" s="79"/>
      <c r="I138" s="171" t="str">
        <f>Product0129[[#Headers],[Fractiediameter (mm)]]</f>
        <v>Fractiediameter (mm)</v>
      </c>
      <c r="J138" s="171"/>
      <c r="K138" s="256" t="str" cm="1">
        <f t="array" ref="K138">_xlfn.XLOOKUP($H$135,Product0129[[#All],[Producten]],Product0129[[#All],[Fractiediameter (mm)]])</f>
        <v>5-50</v>
      </c>
      <c r="L138" s="80"/>
      <c r="N138" s="79"/>
      <c r="O138" s="171" t="str">
        <f>Product0129[[#Headers],[Fractiediameter (mm)]]</f>
        <v>Fractiediameter (mm)</v>
      </c>
      <c r="P138" s="171"/>
      <c r="Q138" s="256" t="str" cm="1">
        <f t="array" ref="Q138">_xlfn.XLOOKUP($N$135,Product0129[[#All],[Producten]],Product0129[[#All],[Fractiediameter (mm)]])</f>
        <v>Gehele pluis</v>
      </c>
      <c r="R138" s="80"/>
      <c r="T138" s="79"/>
      <c r="U138" s="171" t="str">
        <f>Product0129[[#Headers],[Fractiediameter (mm)]]</f>
        <v>Fractiediameter (mm)</v>
      </c>
      <c r="V138" s="171"/>
      <c r="W138" s="256" t="str" cm="1">
        <f t="array" ref="W138">_xlfn.XLOOKUP($T$135,Product0129[[#All],[Producten]],Product0129[[#All],[Fractiediameter (mm)]])</f>
        <v>3-6</v>
      </c>
      <c r="X138" s="80"/>
      <c r="Z138" s="79"/>
      <c r="AA138" s="171" t="str">
        <f>Product0129[[#Headers],[Fractiediameter (mm)]]</f>
        <v>Fractiediameter (mm)</v>
      </c>
      <c r="AB138" s="171"/>
      <c r="AC138" s="256" t="str" cm="1">
        <f t="array" ref="AC138">_xlfn.XLOOKUP($Z$135,Product0129[[#All],[Producten]],Product0129[[#All],[Fractiediameter (mm)]])</f>
        <v>0,1</v>
      </c>
      <c r="AD138" s="80"/>
      <c r="AF138" s="79"/>
      <c r="AG138" s="171" t="str">
        <f>Product0129[[#Headers],[Fractiediameter (mm)]]</f>
        <v>Fractiediameter (mm)</v>
      </c>
      <c r="AH138" s="171"/>
      <c r="AI138" s="256" t="str" cm="1">
        <f t="array" ref="AI138">_xlfn.XLOOKUP($AF$135,Product0129[[#All],[Producten]],Product0129[[#All],[Fractiediameter (mm)]])</f>
        <v>0,1-0,25</v>
      </c>
      <c r="AJ138" s="80"/>
    </row>
    <row r="139" spans="2:36" x14ac:dyDescent="0.2">
      <c r="H139" s="79"/>
      <c r="I139" s="171"/>
      <c r="J139" s="171"/>
      <c r="K139" s="256"/>
      <c r="L139" s="80"/>
      <c r="N139" s="79"/>
      <c r="O139" s="171"/>
      <c r="P139" s="171"/>
      <c r="Q139" s="204"/>
      <c r="R139" s="80"/>
      <c r="T139" s="79"/>
      <c r="U139" s="171"/>
      <c r="V139" s="171"/>
      <c r="W139" s="204"/>
      <c r="X139" s="80"/>
      <c r="Z139" s="79"/>
      <c r="AA139" s="171"/>
      <c r="AB139" s="171"/>
      <c r="AC139" s="204"/>
      <c r="AD139" s="80"/>
      <c r="AF139" s="79"/>
      <c r="AG139" s="171"/>
      <c r="AH139" s="171"/>
      <c r="AI139" s="204"/>
      <c r="AJ139" s="80"/>
    </row>
    <row r="140" spans="2:36" ht="17" thickBot="1" x14ac:dyDescent="0.25">
      <c r="B140" s="86" t="s">
        <v>154</v>
      </c>
      <c r="C140" s="78"/>
      <c r="D140" s="111"/>
      <c r="E140" s="111"/>
      <c r="F140" s="112"/>
      <c r="H140" s="79"/>
      <c r="I140" s="90" t="s">
        <v>25</v>
      </c>
      <c r="J140" s="92" t="s">
        <v>26</v>
      </c>
      <c r="K140" s="171"/>
      <c r="L140" s="80"/>
      <c r="N140" s="79"/>
      <c r="O140" s="90" t="s">
        <v>25</v>
      </c>
      <c r="P140" s="92" t="s">
        <v>26</v>
      </c>
      <c r="Q140" s="171"/>
      <c r="R140" s="80"/>
      <c r="T140" s="79"/>
      <c r="U140" s="90" t="s">
        <v>25</v>
      </c>
      <c r="V140" s="92" t="s">
        <v>26</v>
      </c>
      <c r="W140" s="171"/>
      <c r="X140" s="80"/>
      <c r="Z140" s="79"/>
      <c r="AA140" s="90" t="s">
        <v>25</v>
      </c>
      <c r="AB140" s="92" t="s">
        <v>26</v>
      </c>
      <c r="AC140" s="171"/>
      <c r="AD140" s="80"/>
      <c r="AF140" s="79"/>
      <c r="AG140" s="90" t="s">
        <v>25</v>
      </c>
      <c r="AH140" s="92" t="s">
        <v>26</v>
      </c>
      <c r="AI140" s="171"/>
      <c r="AJ140" s="80"/>
    </row>
    <row r="141" spans="2:36" ht="18" thickTop="1" thickBot="1" x14ac:dyDescent="0.25">
      <c r="B141" s="108"/>
      <c r="C141" s="57"/>
      <c r="D141" s="393"/>
      <c r="E141" s="393"/>
      <c r="F141" s="394"/>
      <c r="H141" s="109" t="s">
        <v>155</v>
      </c>
      <c r="I141" s="69" t="s">
        <v>54</v>
      </c>
      <c r="J141" s="208"/>
      <c r="K141" s="171" cm="1">
        <f t="array" ref="K141">IF(ISBLANK(J141),INDEX(Product01[[#All],[Geen]:[Waarde MIN]],_xlfn.XMATCH(H135,Product01[[#All],[Producten]]),_xlfn.XMATCH('SCENARIO 4 - Vrij invulbaar'!I141,Product01[[#Headers],[Geen]:[Waarde MIN]])),J141)</f>
        <v>1200</v>
      </c>
      <c r="L141" s="80" t="s">
        <v>92</v>
      </c>
      <c r="N141" s="109" t="s">
        <v>155</v>
      </c>
      <c r="O141" s="69" t="s">
        <v>54</v>
      </c>
      <c r="P141" s="208"/>
      <c r="Q141" s="171" cm="1">
        <f t="array" ref="Q141">IF(ISBLANK(P141),INDEX(Product01[[#All],[Geen]:[Waarde MIN]],_xlfn.XMATCH(N135,Product01[[#All],[Producten]]),_xlfn.XMATCH('SCENARIO 4 - Vrij invulbaar'!O141,Product01[[#Headers],[Geen]:[Waarde MIN]])),P141)</f>
        <v>1290</v>
      </c>
      <c r="R141" s="80" t="s">
        <v>92</v>
      </c>
      <c r="T141" s="109" t="s">
        <v>155</v>
      </c>
      <c r="U141" s="69" t="s">
        <v>54</v>
      </c>
      <c r="V141" s="208"/>
      <c r="W141" s="171" cm="1">
        <f t="array" ref="W141">IF(ISBLANK(V141),INDEX(Product01[[#All],[Geen]:[Waarde MIN]],_xlfn.XMATCH(T135,Product01[[#All],[Producten]]),_xlfn.XMATCH('SCENARIO 4 - Vrij invulbaar'!U141,Product01[[#Headers],[Geen]:[Waarde MIN]])),V141)</f>
        <v>600</v>
      </c>
      <c r="X141" s="80" t="s">
        <v>92</v>
      </c>
      <c r="Z141" s="109" t="s">
        <v>155</v>
      </c>
      <c r="AA141" s="69" t="s">
        <v>54</v>
      </c>
      <c r="AB141" s="208"/>
      <c r="AC141" s="171" cm="1">
        <f t="array" ref="AC141">IF(ISBLANK(AB141),INDEX(Product01[[#All],[Geen]:[Waarde MIN]],_xlfn.XMATCH(Z135,Product01[[#All],[Producten]]),_xlfn.XMATCH('SCENARIO 4 - Vrij invulbaar'!AA141,Product01[[#Headers],[Geen]:[Waarde MIN]])),AB141)</f>
        <v>300</v>
      </c>
      <c r="AD141" s="80" t="s">
        <v>92</v>
      </c>
      <c r="AF141" s="109" t="s">
        <v>155</v>
      </c>
      <c r="AG141" s="69" t="s">
        <v>54</v>
      </c>
      <c r="AH141" s="208"/>
      <c r="AI141" s="171" cm="1">
        <f t="array" ref="AI141">IF(ISBLANK(AH141),INDEX(Product01[[#All],[Geen]:[Waarde MIN]],_xlfn.XMATCH(AF135,Product01[[#All],[Producten]]),_xlfn.XMATCH('SCENARIO 4 - Vrij invulbaar'!AG141,Product01[[#Headers],[Geen]:[Waarde MIN]])),AH141)</f>
        <v>200</v>
      </c>
      <c r="AJ141" s="80" t="s">
        <v>92</v>
      </c>
    </row>
    <row r="142" spans="2:36" ht="17" thickTop="1" x14ac:dyDescent="0.2">
      <c r="B142" s="109" t="s">
        <v>156</v>
      </c>
      <c r="C142" s="57" t="s">
        <v>157</v>
      </c>
      <c r="D142" s="393" t="s">
        <v>158</v>
      </c>
      <c r="E142" s="393" t="s">
        <v>159</v>
      </c>
      <c r="F142" s="394" t="s">
        <v>160</v>
      </c>
      <c r="H142" s="79"/>
      <c r="I142" s="171"/>
      <c r="J142" s="171"/>
      <c r="K142" s="171"/>
      <c r="L142" s="80"/>
      <c r="N142" s="79"/>
      <c r="O142" s="171"/>
      <c r="P142" s="171"/>
      <c r="Q142" s="171"/>
      <c r="R142" s="80"/>
      <c r="T142" s="79"/>
      <c r="U142" s="171"/>
      <c r="V142" s="171"/>
      <c r="W142" s="171"/>
      <c r="X142" s="80"/>
      <c r="Z142" s="79"/>
      <c r="AA142" s="171"/>
      <c r="AB142" s="171"/>
      <c r="AC142" s="171"/>
      <c r="AD142" s="80"/>
      <c r="AF142" s="79"/>
      <c r="AG142" s="171"/>
      <c r="AH142" s="171"/>
      <c r="AI142" s="171"/>
      <c r="AJ142" s="80"/>
    </row>
    <row r="143" spans="2:36" x14ac:dyDescent="0.2">
      <c r="B143" s="79" t="str">
        <f>H135</f>
        <v>Bouw - Inblaasisolatie</v>
      </c>
      <c r="C143" s="171" t="str">
        <f>K135</f>
        <v>Blad &amp; stengelmateriaal</v>
      </c>
      <c r="D143" s="254">
        <f>K154</f>
        <v>145</v>
      </c>
      <c r="E143" s="110">
        <f>K143</f>
        <v>183666.66666666666</v>
      </c>
      <c r="F143" s="113">
        <f>K151</f>
        <v>181309.61111111109</v>
      </c>
      <c r="H143" s="109" t="s">
        <v>161</v>
      </c>
      <c r="I143" s="123">
        <f>K141</f>
        <v>1200</v>
      </c>
      <c r="J143" s="57" t="s">
        <v>92</v>
      </c>
      <c r="K143" s="65">
        <f>I143*K202</f>
        <v>183666.66666666666</v>
      </c>
      <c r="L143" s="184" t="s">
        <v>49</v>
      </c>
      <c r="N143" s="109" t="s">
        <v>161</v>
      </c>
      <c r="O143" s="123">
        <f>Q141</f>
        <v>1290</v>
      </c>
      <c r="P143" s="57" t="s">
        <v>92</v>
      </c>
      <c r="Q143" s="65">
        <f>O143*Q202</f>
        <v>31262.755102040817</v>
      </c>
      <c r="R143" s="184" t="s">
        <v>49</v>
      </c>
      <c r="T143" s="109" t="s">
        <v>161</v>
      </c>
      <c r="U143" s="123">
        <f>W141</f>
        <v>600</v>
      </c>
      <c r="V143" s="57" t="s">
        <v>92</v>
      </c>
      <c r="W143" s="65">
        <f>U143*W202</f>
        <v>91833.333333333328</v>
      </c>
      <c r="X143" s="184" t="s">
        <v>49</v>
      </c>
      <c r="Z143" s="109" t="s">
        <v>161</v>
      </c>
      <c r="AA143" s="123">
        <f>AC141</f>
        <v>300</v>
      </c>
      <c r="AB143" s="57" t="s">
        <v>92</v>
      </c>
      <c r="AC143" s="65">
        <f>AA143*AC202</f>
        <v>36425.64432989691</v>
      </c>
      <c r="AD143" s="184" t="s">
        <v>49</v>
      </c>
      <c r="AF143" s="109" t="s">
        <v>161</v>
      </c>
      <c r="AG143" s="123">
        <f>AI141</f>
        <v>200</v>
      </c>
      <c r="AH143" s="57" t="s">
        <v>92</v>
      </c>
      <c r="AI143" s="65">
        <f>AG143*AI202</f>
        <v>28077.777777777777</v>
      </c>
      <c r="AJ143" s="184" t="s">
        <v>49</v>
      </c>
    </row>
    <row r="144" spans="2:36" x14ac:dyDescent="0.2">
      <c r="B144" s="79" t="str">
        <f>N135</f>
        <v>Bouw - Beton - Droge mortel - Versterker</v>
      </c>
      <c r="C144" s="171" t="str">
        <f>Q135</f>
        <v>Pluis</v>
      </c>
      <c r="D144" s="254">
        <f>Q154</f>
        <v>25</v>
      </c>
      <c r="E144" s="110">
        <f>Q143</f>
        <v>31262.755102040817</v>
      </c>
      <c r="F144" s="113">
        <f>Q151</f>
        <v>29229.05328798186</v>
      </c>
      <c r="H144" s="79"/>
      <c r="I144" s="262"/>
      <c r="J144" s="171"/>
      <c r="K144" s="55"/>
      <c r="L144" s="80"/>
      <c r="N144" s="79"/>
      <c r="O144" s="262"/>
      <c r="P144" s="171"/>
      <c r="Q144" s="55"/>
      <c r="R144" s="80"/>
      <c r="T144" s="79"/>
      <c r="U144" s="262"/>
      <c r="V144" s="171"/>
      <c r="W144" s="55"/>
      <c r="X144" s="80"/>
      <c r="Z144" s="79"/>
      <c r="AA144" s="262"/>
      <c r="AB144" s="171"/>
      <c r="AC144" s="55"/>
      <c r="AD144" s="80"/>
      <c r="AF144" s="79"/>
      <c r="AG144" s="262"/>
      <c r="AH144" s="171"/>
      <c r="AI144" s="55"/>
      <c r="AJ144" s="80"/>
    </row>
    <row r="145" spans="2:36" x14ac:dyDescent="0.2">
      <c r="B145" s="79" t="str">
        <f>T135</f>
        <v>Bouw - Isolatieplaat (Typha Board)</v>
      </c>
      <c r="C145" s="171" t="str">
        <f>W135</f>
        <v>Blad &amp; stengelmateriaal</v>
      </c>
      <c r="D145" s="254">
        <f>W154</f>
        <v>145</v>
      </c>
      <c r="E145" s="110">
        <f>W143</f>
        <v>91833.333333333328</v>
      </c>
      <c r="F145" s="113">
        <f>W151</f>
        <v>89476.277777777766</v>
      </c>
      <c r="H145" s="187" t="str">
        <f>H171</f>
        <v>Droogkosten</v>
      </c>
      <c r="I145" s="263">
        <f>IFERROR(K145/$K$202,0)</f>
        <v>0</v>
      </c>
      <c r="J145" s="104" t="s">
        <v>92</v>
      </c>
      <c r="K145" s="197">
        <f>K171</f>
        <v>0</v>
      </c>
      <c r="L145" s="185" t="s">
        <v>49</v>
      </c>
      <c r="N145" s="187" t="str">
        <f>N171</f>
        <v>Droogkosten</v>
      </c>
      <c r="O145" s="263">
        <f>IFERROR(Q145/$Q$202,0)</f>
        <v>51.461988304093559</v>
      </c>
      <c r="P145" s="104" t="s">
        <v>92</v>
      </c>
      <c r="Q145" s="197">
        <f>Q171</f>
        <v>1247.1655328798183</v>
      </c>
      <c r="R145" s="185" t="s">
        <v>49</v>
      </c>
      <c r="T145" s="187" t="str">
        <f>T171</f>
        <v>Droogkosten</v>
      </c>
      <c r="U145" s="263">
        <f>IFERROR(W145/$W$202,0)</f>
        <v>0</v>
      </c>
      <c r="V145" s="104" t="s">
        <v>92</v>
      </c>
      <c r="W145" s="197">
        <f>W171</f>
        <v>0</v>
      </c>
      <c r="X145" s="185" t="s">
        <v>49</v>
      </c>
      <c r="Z145" s="187" t="str">
        <f>Z171</f>
        <v>Droogkosten</v>
      </c>
      <c r="AA145" s="263">
        <f>IFERROR(AC145/$AC$202,0)</f>
        <v>38.302383639410451</v>
      </c>
      <c r="AB145" s="104" t="s">
        <v>92</v>
      </c>
      <c r="AC145" s="197">
        <f>AC171</f>
        <v>4650.6300114547576</v>
      </c>
      <c r="AD145" s="185" t="s">
        <v>49</v>
      </c>
      <c r="AF145" s="187" t="str">
        <f>AF171</f>
        <v>Droogkosten</v>
      </c>
      <c r="AG145" s="263">
        <f>IFERROR(AI145/$AI$202,0)</f>
        <v>0</v>
      </c>
      <c r="AH145" s="104" t="s">
        <v>92</v>
      </c>
      <c r="AI145" s="197">
        <f>AI171</f>
        <v>0</v>
      </c>
      <c r="AJ145" s="185" t="s">
        <v>49</v>
      </c>
    </row>
    <row r="146" spans="2:36" x14ac:dyDescent="0.2">
      <c r="B146" s="79" t="str">
        <f>Z135</f>
        <v xml:space="preserve">Plastics - Spuitgieten - Vuller </v>
      </c>
      <c r="C146" s="171" t="str">
        <f>AC135</f>
        <v>Blad &amp; stengelmateriaal</v>
      </c>
      <c r="D146" s="254">
        <f>AC154</f>
        <v>145</v>
      </c>
      <c r="E146" s="110">
        <f>AC143</f>
        <v>36425.64432989691</v>
      </c>
      <c r="F146" s="113">
        <f>AC151</f>
        <v>28108.742468499426</v>
      </c>
      <c r="H146" s="187" t="str">
        <f>H175</f>
        <v>Verwerkingsstap 1</v>
      </c>
      <c r="I146" s="263">
        <f>IFERROR(K146/$K$202,0)</f>
        <v>7.8947368421052637</v>
      </c>
      <c r="J146" s="104" t="s">
        <v>92</v>
      </c>
      <c r="K146" s="197">
        <f>K184</f>
        <v>1208.3333333333333</v>
      </c>
      <c r="L146" s="185" t="s">
        <v>49</v>
      </c>
      <c r="N146" s="187" t="str">
        <f>N175</f>
        <v>Verwerkingsstap 1</v>
      </c>
      <c r="O146" s="263">
        <f>IFERROR(Q146/$Q$202,0)</f>
        <v>21.05263157894737</v>
      </c>
      <c r="P146" s="104" t="s">
        <v>92</v>
      </c>
      <c r="Q146" s="197">
        <f>Q184</f>
        <v>510.20408163265307</v>
      </c>
      <c r="R146" s="185" t="s">
        <v>49</v>
      </c>
      <c r="T146" s="187" t="str">
        <f>T175</f>
        <v>Verwerkingsstap 1</v>
      </c>
      <c r="U146" s="263">
        <f t="shared" ref="U146:U149" si="2">IFERROR(W146/$W$202,0)</f>
        <v>7.8947368421052637</v>
      </c>
      <c r="V146" s="104" t="s">
        <v>92</v>
      </c>
      <c r="W146" s="197">
        <f>W184</f>
        <v>1208.3333333333333</v>
      </c>
      <c r="X146" s="185" t="s">
        <v>49</v>
      </c>
      <c r="Z146" s="187" t="str">
        <f>Z175</f>
        <v>Verwerkingsstap 1</v>
      </c>
      <c r="AA146" s="263">
        <f t="shared" ref="AA146:AA149" si="3">IFERROR(AC146/$AC$202,0)</f>
        <v>8.310249307479225</v>
      </c>
      <c r="AB146" s="104" t="s">
        <v>92</v>
      </c>
      <c r="AC146" s="197">
        <f>AC184</f>
        <v>1009.0206185567012</v>
      </c>
      <c r="AD146" s="185" t="s">
        <v>49</v>
      </c>
      <c r="AF146" s="187" t="str">
        <f>AF175</f>
        <v>Verwerkingsstap 1</v>
      </c>
      <c r="AG146" s="263">
        <f t="shared" ref="AG146:AG149" si="4">IFERROR(AI146/$AI$202,0)</f>
        <v>8.3102493074792232</v>
      </c>
      <c r="AH146" s="104" t="s">
        <v>92</v>
      </c>
      <c r="AI146" s="197">
        <f>AI184</f>
        <v>1166.6666666666665</v>
      </c>
      <c r="AJ146" s="185" t="s">
        <v>49</v>
      </c>
    </row>
    <row r="147" spans="2:36" ht="17" thickBot="1" x14ac:dyDescent="0.25">
      <c r="B147" s="114" t="str">
        <f>AF135</f>
        <v>Papier - Massief karton - Vuller</v>
      </c>
      <c r="C147" s="115" t="str">
        <f>AI135</f>
        <v>Blad &amp; stengelmateriaal</v>
      </c>
      <c r="D147" s="255">
        <f>AI154</f>
        <v>140</v>
      </c>
      <c r="E147" s="116">
        <f>AI143</f>
        <v>28077.777777777777</v>
      </c>
      <c r="F147" s="117">
        <f>AI151</f>
        <v>24644.9</v>
      </c>
      <c r="H147" s="187" t="str">
        <f>H188</f>
        <v>Verwerkingsstap 2</v>
      </c>
      <c r="I147" s="263">
        <f>IFERROR(K147/$K$202,0)</f>
        <v>0</v>
      </c>
      <c r="J147" s="104" t="s">
        <v>92</v>
      </c>
      <c r="K147" s="197">
        <f>K197</f>
        <v>0</v>
      </c>
      <c r="L147" s="185" t="s">
        <v>49</v>
      </c>
      <c r="N147" s="187" t="str">
        <f>N188</f>
        <v>Verwerkingsstap 2</v>
      </c>
      <c r="O147" s="263">
        <f>IFERROR(Q147/$Q$202,0)</f>
        <v>0</v>
      </c>
      <c r="P147" s="104" t="s">
        <v>92</v>
      </c>
      <c r="Q147" s="197">
        <f>Q197</f>
        <v>0</v>
      </c>
      <c r="R147" s="185" t="s">
        <v>49</v>
      </c>
      <c r="T147" s="187" t="str">
        <f>T188</f>
        <v>Verwerkingsstap 2</v>
      </c>
      <c r="U147" s="263">
        <f t="shared" si="2"/>
        <v>0</v>
      </c>
      <c r="V147" s="104" t="s">
        <v>92</v>
      </c>
      <c r="W147" s="197">
        <f>W197</f>
        <v>0</v>
      </c>
      <c r="X147" s="185" t="s">
        <v>49</v>
      </c>
      <c r="Z147" s="187" t="str">
        <f>Z188</f>
        <v>Verwerkingsstap 2</v>
      </c>
      <c r="AA147" s="263">
        <f t="shared" si="3"/>
        <v>7.8947368421052628</v>
      </c>
      <c r="AB147" s="104" t="s">
        <v>92</v>
      </c>
      <c r="AC147" s="197">
        <f>AC197</f>
        <v>958.56958762886597</v>
      </c>
      <c r="AD147" s="185" t="s">
        <v>49</v>
      </c>
      <c r="AF147" s="187" t="str">
        <f>AF188</f>
        <v>Verwerkingsstap 2</v>
      </c>
      <c r="AG147" s="263">
        <f t="shared" si="4"/>
        <v>7.8947368421052628</v>
      </c>
      <c r="AH147" s="104" t="s">
        <v>92</v>
      </c>
      <c r="AI147" s="197">
        <f>AI197</f>
        <v>1108.3333333333333</v>
      </c>
      <c r="AJ147" s="185" t="s">
        <v>49</v>
      </c>
    </row>
    <row r="148" spans="2:36" ht="17" thickTop="1" x14ac:dyDescent="0.2">
      <c r="B148" s="118" t="s">
        <v>47</v>
      </c>
      <c r="C148" s="119"/>
      <c r="D148" s="120"/>
      <c r="E148" s="121">
        <f>SUM(E143:E147)</f>
        <v>371266.17720971548</v>
      </c>
      <c r="F148" s="122">
        <f>SUM(F143:F147)</f>
        <v>352768.58464537014</v>
      </c>
      <c r="H148" s="187" t="str">
        <f>H157</f>
        <v xml:space="preserve">Afvoerkosten restproduct </v>
      </c>
      <c r="I148" s="263">
        <f>IFERROR(K148/$K$202,0)</f>
        <v>0.52631578947368529</v>
      </c>
      <c r="J148" s="104" t="s">
        <v>92</v>
      </c>
      <c r="K148" s="178">
        <f>SUM(K199,K186,K173)*K157</f>
        <v>80.555555555555713</v>
      </c>
      <c r="L148" s="185" t="s">
        <v>49</v>
      </c>
      <c r="N148" s="187" t="str">
        <f>N157</f>
        <v xml:space="preserve">Afvoerkosten restproduct </v>
      </c>
      <c r="O148" s="263">
        <f>IFERROR(Q148/$Q$202,0)</f>
        <v>0.52631578947368474</v>
      </c>
      <c r="P148" s="104" t="s">
        <v>92</v>
      </c>
      <c r="Q148" s="178">
        <f>SUM(Q199,Q186,Q173)*Q157</f>
        <v>12.75510204081634</v>
      </c>
      <c r="R148" s="185" t="s">
        <v>49</v>
      </c>
      <c r="T148" s="187" t="str">
        <f>T157</f>
        <v xml:space="preserve">Afvoerkosten restproduct </v>
      </c>
      <c r="U148" s="263">
        <f t="shared" si="2"/>
        <v>0.52631578947368529</v>
      </c>
      <c r="V148" s="104" t="s">
        <v>92</v>
      </c>
      <c r="W148" s="178">
        <f>SUM(W199,W186,W173)*W157</f>
        <v>80.555555555555713</v>
      </c>
      <c r="X148" s="185" t="s">
        <v>49</v>
      </c>
      <c r="Z148" s="187" t="str">
        <f>Z157</f>
        <v xml:space="preserve">Afvoerkosten restproduct </v>
      </c>
      <c r="AA148" s="263">
        <f t="shared" si="3"/>
        <v>2.3114804555247765</v>
      </c>
      <c r="AB148" s="104" t="s">
        <v>92</v>
      </c>
      <c r="AC148" s="178">
        <f>SUM(AC199,AC186,AC173)*AC157</f>
        <v>280.65721649484533</v>
      </c>
      <c r="AD148" s="185" t="s">
        <v>49</v>
      </c>
      <c r="AF148" s="187" t="str">
        <f>AF157</f>
        <v xml:space="preserve">Afvoerkosten restproduct </v>
      </c>
      <c r="AG148" s="263">
        <f t="shared" si="4"/>
        <v>1.0803324099722986</v>
      </c>
      <c r="AH148" s="104" t="s">
        <v>92</v>
      </c>
      <c r="AI148" s="178">
        <f>SUM(AI199,AI186,AI173)*AI157</f>
        <v>151.66666666666657</v>
      </c>
      <c r="AJ148" s="185" t="s">
        <v>49</v>
      </c>
    </row>
    <row r="149" spans="2:36" x14ac:dyDescent="0.2">
      <c r="H149" s="187" t="s">
        <v>162</v>
      </c>
      <c r="I149" s="263">
        <f>IFERROR(K149/$K$202,0)</f>
        <v>6.9789473684210526</v>
      </c>
      <c r="J149" s="104" t="s">
        <v>92</v>
      </c>
      <c r="K149" s="197">
        <f>SUM(K167,K180,K193,K206)</f>
        <v>1068.1666666666665</v>
      </c>
      <c r="L149" s="185" t="s">
        <v>49</v>
      </c>
      <c r="N149" s="187" t="s">
        <v>162</v>
      </c>
      <c r="O149" s="263">
        <f>IFERROR(Q149/$Q$202,0)</f>
        <v>10.876023391812865</v>
      </c>
      <c r="P149" s="104" t="s">
        <v>92</v>
      </c>
      <c r="Q149" s="197">
        <f>SUM(Q167,Q180,Q193,Q206)</f>
        <v>263.57709750566892</v>
      </c>
      <c r="R149" s="185" t="s">
        <v>49</v>
      </c>
      <c r="T149" s="187" t="s">
        <v>162</v>
      </c>
      <c r="U149" s="263">
        <f t="shared" si="2"/>
        <v>6.9789473684210526</v>
      </c>
      <c r="V149" s="104" t="s">
        <v>92</v>
      </c>
      <c r="W149" s="197">
        <f>SUM(W167,W180,W193,W206)</f>
        <v>1068.1666666666665</v>
      </c>
      <c r="X149" s="185" t="s">
        <v>49</v>
      </c>
      <c r="Z149" s="187" t="s">
        <v>162</v>
      </c>
      <c r="AA149" s="263">
        <f t="shared" si="3"/>
        <v>11.678786635203995</v>
      </c>
      <c r="AB149" s="104" t="s">
        <v>92</v>
      </c>
      <c r="AC149" s="197">
        <f>SUM(AC167,AC180,AC193,AC206)</f>
        <v>1418.024427262314</v>
      </c>
      <c r="AD149" s="185" t="s">
        <v>49</v>
      </c>
      <c r="AF149" s="187" t="s">
        <v>162</v>
      </c>
      <c r="AG149" s="263">
        <f t="shared" si="4"/>
        <v>7.1673130193905807</v>
      </c>
      <c r="AH149" s="104" t="s">
        <v>92</v>
      </c>
      <c r="AI149" s="197">
        <f>SUM(AI167,AI180,AI193,AI206)</f>
        <v>1006.211111111111</v>
      </c>
      <c r="AJ149" s="185" t="s">
        <v>49</v>
      </c>
    </row>
    <row r="150" spans="2:36" ht="19" x14ac:dyDescent="0.35">
      <c r="H150" s="109" t="s">
        <v>121</v>
      </c>
      <c r="I150" s="261">
        <f>SUM(I145:I149)</f>
        <v>15.400000000000002</v>
      </c>
      <c r="J150" s="57" t="s">
        <v>92</v>
      </c>
      <c r="K150" s="261">
        <f>SUM(K145:K149)</f>
        <v>2357.0555555555557</v>
      </c>
      <c r="L150" s="184" t="s">
        <v>49</v>
      </c>
      <c r="N150" s="109" t="s">
        <v>121</v>
      </c>
      <c r="O150" s="261">
        <f>SUM(O145:O149)</f>
        <v>83.916959064327472</v>
      </c>
      <c r="P150" s="57" t="s">
        <v>92</v>
      </c>
      <c r="Q150" s="261">
        <f>SUM(Q145:Q149)</f>
        <v>2033.7018140589566</v>
      </c>
      <c r="R150" s="184" t="s">
        <v>49</v>
      </c>
      <c r="T150" s="109" t="s">
        <v>121</v>
      </c>
      <c r="U150" s="261">
        <f>SUM(U145:U149)</f>
        <v>15.400000000000002</v>
      </c>
      <c r="V150" s="57" t="s">
        <v>92</v>
      </c>
      <c r="W150" s="261">
        <f>SUM(W145:W149)</f>
        <v>2357.0555555555557</v>
      </c>
      <c r="X150" s="184" t="s">
        <v>49</v>
      </c>
      <c r="Z150" s="109" t="s">
        <v>121</v>
      </c>
      <c r="AA150" s="261">
        <f>SUM(AA145:AA149)</f>
        <v>68.4976368797237</v>
      </c>
      <c r="AB150" s="57" t="s">
        <v>92</v>
      </c>
      <c r="AC150" s="261">
        <f>SUM(AC145:AC149)</f>
        <v>8316.901861397484</v>
      </c>
      <c r="AD150" s="184" t="s">
        <v>49</v>
      </c>
      <c r="AF150" s="109" t="s">
        <v>121</v>
      </c>
      <c r="AG150" s="261">
        <f>SUM(AG145:AG149)</f>
        <v>24.452631578947365</v>
      </c>
      <c r="AH150" s="57" t="s">
        <v>92</v>
      </c>
      <c r="AI150" s="261">
        <f>SUM(AI145:AI149)</f>
        <v>3432.8777777777777</v>
      </c>
      <c r="AJ150" s="184" t="s">
        <v>49</v>
      </c>
    </row>
    <row r="151" spans="2:36" x14ac:dyDescent="0.2">
      <c r="H151" s="109" t="s">
        <v>163</v>
      </c>
      <c r="I151" s="65">
        <f>I143-I150</f>
        <v>1184.5999999999999</v>
      </c>
      <c r="J151" s="57" t="s">
        <v>92</v>
      </c>
      <c r="K151" s="65">
        <f>K143-K150</f>
        <v>181309.61111111109</v>
      </c>
      <c r="L151" s="184" t="s">
        <v>49</v>
      </c>
      <c r="N151" s="109" t="s">
        <v>163</v>
      </c>
      <c r="O151" s="65">
        <f>O143-O150</f>
        <v>1206.0830409356724</v>
      </c>
      <c r="P151" s="57" t="s">
        <v>92</v>
      </c>
      <c r="Q151" s="65">
        <f>Q143-Q150</f>
        <v>29229.05328798186</v>
      </c>
      <c r="R151" s="184" t="s">
        <v>49</v>
      </c>
      <c r="T151" s="109" t="s">
        <v>163</v>
      </c>
      <c r="U151" s="65">
        <f>U143-U150</f>
        <v>584.6</v>
      </c>
      <c r="V151" s="57" t="s">
        <v>92</v>
      </c>
      <c r="W151" s="65">
        <f>W143-W150</f>
        <v>89476.277777777766</v>
      </c>
      <c r="X151" s="184" t="s">
        <v>49</v>
      </c>
      <c r="Z151" s="109" t="s">
        <v>163</v>
      </c>
      <c r="AA151" s="65">
        <f>AA143-AA150</f>
        <v>231.5023631202763</v>
      </c>
      <c r="AB151" s="57" t="s">
        <v>92</v>
      </c>
      <c r="AC151" s="65">
        <f>AC143-AC150</f>
        <v>28108.742468499426</v>
      </c>
      <c r="AD151" s="184" t="s">
        <v>49</v>
      </c>
      <c r="AF151" s="109" t="s">
        <v>163</v>
      </c>
      <c r="AG151" s="65">
        <f>AG143-AG150</f>
        <v>175.54736842105262</v>
      </c>
      <c r="AH151" s="57" t="s">
        <v>92</v>
      </c>
      <c r="AI151" s="65">
        <f>AI143-AI150</f>
        <v>24644.9</v>
      </c>
      <c r="AJ151" s="184" t="s">
        <v>49</v>
      </c>
    </row>
    <row r="152" spans="2:36" x14ac:dyDescent="0.2">
      <c r="H152" s="79"/>
      <c r="I152" s="171"/>
      <c r="J152" s="171"/>
      <c r="K152" s="262"/>
      <c r="L152" s="80"/>
      <c r="N152" s="79"/>
      <c r="O152" s="171"/>
      <c r="P152" s="171"/>
      <c r="Q152" s="171"/>
      <c r="R152" s="80"/>
      <c r="T152" s="79"/>
      <c r="U152" s="171"/>
      <c r="V152" s="171"/>
      <c r="W152" s="171"/>
      <c r="X152" s="80"/>
      <c r="Z152" s="79"/>
      <c r="AA152" s="171"/>
      <c r="AB152" s="171"/>
      <c r="AC152" s="171"/>
      <c r="AD152" s="80"/>
      <c r="AF152" s="79"/>
      <c r="AG152" s="171"/>
      <c r="AH152" s="171"/>
      <c r="AI152" s="171"/>
      <c r="AJ152" s="80"/>
    </row>
    <row r="153" spans="2:36" x14ac:dyDescent="0.2">
      <c r="H153" s="109" t="s">
        <v>164</v>
      </c>
      <c r="I153" s="90" t="s">
        <v>25</v>
      </c>
      <c r="J153" s="92" t="s">
        <v>26</v>
      </c>
      <c r="K153" s="171"/>
      <c r="L153" s="80"/>
      <c r="N153" s="109" t="s">
        <v>164</v>
      </c>
      <c r="O153" s="90" t="s">
        <v>25</v>
      </c>
      <c r="P153" s="92" t="s">
        <v>26</v>
      </c>
      <c r="Q153" s="171"/>
      <c r="R153" s="80"/>
      <c r="T153" s="109" t="s">
        <v>164</v>
      </c>
      <c r="U153" s="90" t="s">
        <v>25</v>
      </c>
      <c r="V153" s="92" t="s">
        <v>26</v>
      </c>
      <c r="W153" s="171"/>
      <c r="X153" s="80"/>
      <c r="Z153" s="109" t="s">
        <v>164</v>
      </c>
      <c r="AA153" s="90" t="s">
        <v>25</v>
      </c>
      <c r="AB153" s="92" t="s">
        <v>26</v>
      </c>
      <c r="AC153" s="171"/>
      <c r="AD153" s="80"/>
      <c r="AF153" s="109" t="s">
        <v>164</v>
      </c>
      <c r="AG153" s="90" t="s">
        <v>25</v>
      </c>
      <c r="AH153" s="92" t="s">
        <v>26</v>
      </c>
      <c r="AI153" s="171"/>
      <c r="AJ153" s="80"/>
    </row>
    <row r="154" spans="2:36" ht="17" thickBot="1" x14ac:dyDescent="0.25">
      <c r="C154" s="421"/>
      <c r="H154" s="79" t="s">
        <v>80</v>
      </c>
      <c r="I154" s="67"/>
      <c r="J154" s="62">
        <v>145</v>
      </c>
      <c r="K154" s="220">
        <f>IF(H135="Geen",0,J154)</f>
        <v>145</v>
      </c>
      <c r="L154" s="80" t="s">
        <v>81</v>
      </c>
      <c r="N154" s="79" t="s">
        <v>80</v>
      </c>
      <c r="O154" s="67"/>
      <c r="P154" s="62">
        <v>25</v>
      </c>
      <c r="Q154" s="192">
        <f>IF(N135="Geen",0,P154)</f>
        <v>25</v>
      </c>
      <c r="R154" s="80" t="s">
        <v>81</v>
      </c>
      <c r="T154" s="79" t="s">
        <v>80</v>
      </c>
      <c r="U154" s="67"/>
      <c r="V154" s="62">
        <v>145</v>
      </c>
      <c r="W154" s="192">
        <f>IF(T135="Geen",0,V154)</f>
        <v>145</v>
      </c>
      <c r="X154" s="80" t="s">
        <v>81</v>
      </c>
      <c r="Z154" s="79" t="s">
        <v>80</v>
      </c>
      <c r="AA154" s="67"/>
      <c r="AB154" s="62">
        <v>145</v>
      </c>
      <c r="AC154" s="192">
        <f>IF(Z135="Geen",0,AB154)</f>
        <v>145</v>
      </c>
      <c r="AD154" s="80" t="s">
        <v>81</v>
      </c>
      <c r="AF154" s="79" t="s">
        <v>80</v>
      </c>
      <c r="AG154" s="67"/>
      <c r="AH154" s="62">
        <v>140</v>
      </c>
      <c r="AI154" s="192">
        <f>IF(AF135="Geen",0,AH154)</f>
        <v>140</v>
      </c>
      <c r="AJ154" s="80" t="s">
        <v>81</v>
      </c>
    </row>
    <row r="155" spans="2:36" ht="18" thickTop="1" thickBot="1" x14ac:dyDescent="0.25">
      <c r="E155" s="28"/>
      <c r="H155" s="79" t="str">
        <f>'DATA - Variabelen &amp; waarden'!$B$274</f>
        <v>Drogestofgehalte input (feb/mrt)</v>
      </c>
      <c r="I155" s="69" t="s">
        <v>54</v>
      </c>
      <c r="J155" s="70"/>
      <c r="K155" s="66" cm="1">
        <f t="array" ref="K155">IF($O$83="Ja",$Q$89,IF(ISBLANK(J155),INDEX(VoorDroog[[#All],[Geen]:[Waarde MIN]],_xlfn.XMATCH('SCENARIO 4 - Vrij invulbaar'!H155,VoorDroog[[#All],[Voordrogen]]),_xlfn.XMATCH('SCENARIO 4 - Vrij invulbaar'!I155,VoorDroog[[#Headers],[Geen]:[Waarde MIN]])),J155))</f>
        <v>0.9</v>
      </c>
      <c r="L155" s="80" t="s">
        <v>83</v>
      </c>
      <c r="N155" s="79" t="str">
        <f>'DATA - Variabelen &amp; waarden'!$B$274</f>
        <v>Drogestofgehalte input (feb/mrt)</v>
      </c>
      <c r="O155" s="69" t="s">
        <v>54</v>
      </c>
      <c r="P155" s="70"/>
      <c r="Q155" s="66" cm="1">
        <f t="array" ref="Q155">IF($O$83="Ja",$Q$89,IF(ISBLANK(P155),INDEX(VoorDroog[[#All],[Geen]:[Waarde MIN]],_xlfn.XMATCH('SCENARIO 4 - Vrij invulbaar'!N155,VoorDroog[[#All],[Voordrogen]]),_xlfn.XMATCH('SCENARIO 4 - Vrij invulbaar'!O155,VoorDroog[[#Headers],[Geen]:[Waarde MIN]])),P155))</f>
        <v>0.9</v>
      </c>
      <c r="R155" s="80" t="s">
        <v>83</v>
      </c>
      <c r="T155" s="79" t="str">
        <f>'DATA - Variabelen &amp; waarden'!$B$274</f>
        <v>Drogestofgehalte input (feb/mrt)</v>
      </c>
      <c r="U155" s="69" t="s">
        <v>54</v>
      </c>
      <c r="V155" s="70"/>
      <c r="W155" s="66" cm="1">
        <f t="array" ref="W155">IF($O$83="Ja",$Q$89,IF(ISBLANK(V155),INDEX(VoorDroog[[#All],[Geen]:[Waarde MIN]],_xlfn.XMATCH('SCENARIO 4 - Vrij invulbaar'!T155,VoorDroog[[#All],[Voordrogen]]),_xlfn.XMATCH('SCENARIO 4 - Vrij invulbaar'!U155,VoorDroog[[#Headers],[Geen]:[Waarde MIN]])),V155))</f>
        <v>0.9</v>
      </c>
      <c r="X155" s="80" t="s">
        <v>83</v>
      </c>
      <c r="Z155" s="79" t="str">
        <f>'DATA - Variabelen &amp; waarden'!$B$274</f>
        <v>Drogestofgehalte input (feb/mrt)</v>
      </c>
      <c r="AA155" s="69" t="s">
        <v>54</v>
      </c>
      <c r="AB155" s="70"/>
      <c r="AC155" s="66" cm="1">
        <f t="array" ref="AC155">IF($O$83="Ja",$Q$89,IF(ISBLANK(AB155),INDEX(VoorDroog[[#All],[Geen]:[Waarde MIN]],_xlfn.XMATCH('SCENARIO 4 - Vrij invulbaar'!Z155,VoorDroog[[#All],[Voordrogen]]),_xlfn.XMATCH('SCENARIO 4 - Vrij invulbaar'!AA155,VoorDroog[[#Headers],[Geen]:[Waarde MIN]])),AB155))</f>
        <v>0.9</v>
      </c>
      <c r="AD155" s="80" t="s">
        <v>83</v>
      </c>
      <c r="AF155" s="79" t="str">
        <f>'DATA - Variabelen &amp; waarden'!$B$274</f>
        <v>Drogestofgehalte input (feb/mrt)</v>
      </c>
      <c r="AG155" s="69" t="s">
        <v>54</v>
      </c>
      <c r="AH155" s="70"/>
      <c r="AI155" s="66" cm="1">
        <f t="array" ref="AI155">IF($O$83="Ja",$Q$89,IF(ISBLANK(AH155),INDEX(VoorDroog[[#All],[Geen]:[Waarde MIN]],_xlfn.XMATCH('SCENARIO 4 - Vrij invulbaar'!AF155,VoorDroog[[#All],[Voordrogen]]),_xlfn.XMATCH('SCENARIO 4 - Vrij invulbaar'!AG155,VoorDroog[[#Headers],[Geen]:[Waarde MIN]])),AH155))</f>
        <v>0.9</v>
      </c>
      <c r="AJ155" s="80" t="s">
        <v>83</v>
      </c>
    </row>
    <row r="156" spans="2:36" ht="18" thickTop="1" thickBot="1" x14ac:dyDescent="0.25">
      <c r="H156" s="207" t="s">
        <v>85</v>
      </c>
      <c r="I156" s="195"/>
      <c r="J156" s="195"/>
      <c r="K156" s="220">
        <f>IFERROR(K154/K155,0)</f>
        <v>161.11111111111111</v>
      </c>
      <c r="L156" s="190" t="s">
        <v>86</v>
      </c>
      <c r="N156" s="187" t="s">
        <v>85</v>
      </c>
      <c r="O156" s="104"/>
      <c r="P156" s="104"/>
      <c r="Q156" s="215">
        <f>IFERROR(Q154/Q155,0)</f>
        <v>27.777777777777779</v>
      </c>
      <c r="R156" s="185" t="s">
        <v>86</v>
      </c>
      <c r="T156" s="187" t="s">
        <v>85</v>
      </c>
      <c r="U156" s="104"/>
      <c r="V156" s="104"/>
      <c r="W156" s="215">
        <f>IFERROR(W154/W155,0)</f>
        <v>161.11111111111111</v>
      </c>
      <c r="X156" s="185" t="s">
        <v>86</v>
      </c>
      <c r="Z156" s="187" t="s">
        <v>85</v>
      </c>
      <c r="AA156" s="104"/>
      <c r="AB156" s="104"/>
      <c r="AC156" s="215">
        <f>IFERROR(AC154/AC155,0)</f>
        <v>161.11111111111111</v>
      </c>
      <c r="AD156" s="185" t="s">
        <v>86</v>
      </c>
      <c r="AF156" s="187" t="s">
        <v>85</v>
      </c>
      <c r="AG156" s="104"/>
      <c r="AH156" s="104"/>
      <c r="AI156" s="215">
        <f>IFERROR(AI154/AI155,0)</f>
        <v>155.55555555555554</v>
      </c>
      <c r="AJ156" s="185" t="s">
        <v>86</v>
      </c>
    </row>
    <row r="157" spans="2:36" ht="18" thickTop="1" thickBot="1" x14ac:dyDescent="0.25">
      <c r="D157" s="28"/>
      <c r="E157" s="28"/>
      <c r="H157" s="358" t="s">
        <v>165</v>
      </c>
      <c r="I157" s="69" t="s">
        <v>54</v>
      </c>
      <c r="J157" s="242"/>
      <c r="K157" s="68" cm="1">
        <f t="array" ref="K157">IF(ISBLANK(J157),_xlfn.XLOOKUP(I157,Tabel37[[#Headers],[Geen]:[Waarde MIN]],'DATA - Variabelen &amp; waarden'!$D$383:$G$383,"Selecteer waarde"),J157)</f>
        <v>10</v>
      </c>
      <c r="L157" s="190" t="s">
        <v>92</v>
      </c>
      <c r="N157" s="199" t="s">
        <v>165</v>
      </c>
      <c r="O157" s="69" t="s">
        <v>54</v>
      </c>
      <c r="P157" s="242"/>
      <c r="Q157" s="68" cm="1">
        <f t="array" ref="Q157">IF(ISBLANK(P157),_xlfn.XLOOKUP(O157,Tabel37[[#Headers],[Geen]:[Waarde MIN]],'DATA - Variabelen &amp; waarden'!$D$383:$G$383,"Selecteer waarde"),P157)</f>
        <v>10</v>
      </c>
      <c r="R157" s="190" t="s">
        <v>92</v>
      </c>
      <c r="T157" s="199" t="s">
        <v>165</v>
      </c>
      <c r="U157" s="69" t="s">
        <v>54</v>
      </c>
      <c r="V157" s="242"/>
      <c r="W157" s="68" cm="1">
        <f t="array" ref="W157">IF(ISBLANK(V157),_xlfn.XLOOKUP(U157,Tabel37[[#Headers],[Geen]:[Waarde MIN]],'DATA - Variabelen &amp; waarden'!$D$383:$G$383,"Selecteer waarde"),V157)</f>
        <v>10</v>
      </c>
      <c r="X157" s="190" t="s">
        <v>92</v>
      </c>
      <c r="Z157" s="199" t="s">
        <v>165</v>
      </c>
      <c r="AA157" s="69" t="s">
        <v>54</v>
      </c>
      <c r="AB157" s="242"/>
      <c r="AC157" s="68" cm="1">
        <f t="array" ref="AC157">IF(ISBLANK(AB157),_xlfn.XLOOKUP(AA157,Tabel37[[#Headers],[Geen]:[Waarde MIN]],'DATA - Variabelen &amp; waarden'!$D$383:$G$383,"Selecteer waarde"),AB157)</f>
        <v>10</v>
      </c>
      <c r="AD157" s="190" t="s">
        <v>92</v>
      </c>
      <c r="AF157" s="199" t="s">
        <v>165</v>
      </c>
      <c r="AG157" s="69" t="s">
        <v>54</v>
      </c>
      <c r="AH157" s="242"/>
      <c r="AI157" s="68" cm="1">
        <f t="array" ref="AI157">IF(ISBLANK(AH157),_xlfn.XLOOKUP(AG157,Tabel37[[#Headers],[Geen]:[Waarde MIN]],'DATA - Variabelen &amp; waarden'!$D$383:$G$383,"Selecteer waarde"),AH157)</f>
        <v>10</v>
      </c>
      <c r="AJ157" s="190" t="s">
        <v>92</v>
      </c>
    </row>
    <row r="158" spans="2:36" ht="18" thickTop="1" thickBot="1" x14ac:dyDescent="0.25">
      <c r="H158" s="79" t="s">
        <v>166</v>
      </c>
      <c r="I158" s="69" t="s">
        <v>76</v>
      </c>
      <c r="J158" s="171"/>
      <c r="K158" s="171"/>
      <c r="L158" s="80"/>
      <c r="N158" s="79" t="s">
        <v>166</v>
      </c>
      <c r="O158" s="69" t="s">
        <v>167</v>
      </c>
      <c r="P158" s="171"/>
      <c r="Q158" s="171"/>
      <c r="R158" s="80"/>
      <c r="T158" s="79" t="s">
        <v>166</v>
      </c>
      <c r="U158" s="69" t="s">
        <v>76</v>
      </c>
      <c r="V158" s="171"/>
      <c r="W158" s="171"/>
      <c r="X158" s="80"/>
      <c r="Z158" s="79" t="s">
        <v>166</v>
      </c>
      <c r="AA158" s="69" t="s">
        <v>167</v>
      </c>
      <c r="AB158" s="171"/>
      <c r="AC158" s="171"/>
      <c r="AD158" s="80"/>
      <c r="AF158" s="79" t="s">
        <v>166</v>
      </c>
      <c r="AG158" s="69" t="s">
        <v>76</v>
      </c>
      <c r="AH158" s="171"/>
      <c r="AI158" s="171"/>
      <c r="AJ158" s="80"/>
    </row>
    <row r="159" spans="2:36" ht="17" thickTop="1" x14ac:dyDescent="0.2">
      <c r="B159" s="268"/>
      <c r="H159" s="79"/>
      <c r="I159" s="171"/>
      <c r="J159" s="171"/>
      <c r="K159" s="171"/>
      <c r="L159" s="80"/>
      <c r="N159" s="79"/>
      <c r="O159" s="171"/>
      <c r="P159" s="171"/>
      <c r="Q159" s="171"/>
      <c r="R159" s="80"/>
      <c r="T159" s="79"/>
      <c r="U159" s="171"/>
      <c r="V159" s="171"/>
      <c r="W159" s="171"/>
      <c r="X159" s="80"/>
      <c r="Z159" s="79"/>
      <c r="AA159" s="171"/>
      <c r="AB159" s="171"/>
      <c r="AC159" s="171"/>
      <c r="AD159" s="80"/>
      <c r="AF159" s="79"/>
      <c r="AG159" s="171"/>
      <c r="AH159" s="171"/>
      <c r="AI159" s="171"/>
      <c r="AJ159" s="80"/>
    </row>
    <row r="160" spans="2:36" x14ac:dyDescent="0.2">
      <c r="B160" s="268"/>
      <c r="H160" s="109" t="s">
        <v>111</v>
      </c>
      <c r="I160" s="171"/>
      <c r="J160" s="171"/>
      <c r="K160" s="171"/>
      <c r="L160" s="80"/>
      <c r="N160" s="109" t="s">
        <v>111</v>
      </c>
      <c r="O160" s="171"/>
      <c r="P160" s="171"/>
      <c r="Q160" s="171"/>
      <c r="R160" s="80"/>
      <c r="T160" s="109" t="s">
        <v>111</v>
      </c>
      <c r="U160" s="171"/>
      <c r="V160" s="171"/>
      <c r="W160" s="171"/>
      <c r="X160" s="80"/>
      <c r="Z160" s="109" t="s">
        <v>111</v>
      </c>
      <c r="AA160" s="171"/>
      <c r="AB160" s="171"/>
      <c r="AC160" s="171"/>
      <c r="AD160" s="80"/>
      <c r="AF160" s="109" t="s">
        <v>111</v>
      </c>
      <c r="AG160" s="171"/>
      <c r="AH160" s="171"/>
      <c r="AI160" s="171"/>
      <c r="AJ160" s="80"/>
    </row>
    <row r="161" spans="2:36" x14ac:dyDescent="0.2">
      <c r="B161" s="268"/>
      <c r="C161" s="421"/>
      <c r="H161" s="187" t="s">
        <v>168</v>
      </c>
      <c r="I161" s="104"/>
      <c r="J161" s="104"/>
      <c r="K161" s="214">
        <f>K136</f>
        <v>0.9</v>
      </c>
      <c r="L161" s="185" t="s">
        <v>83</v>
      </c>
      <c r="N161" s="187" t="s">
        <v>168</v>
      </c>
      <c r="O161" s="104"/>
      <c r="P161" s="104"/>
      <c r="Q161" s="214">
        <f>Q136</f>
        <v>0.98</v>
      </c>
      <c r="R161" s="185" t="s">
        <v>83</v>
      </c>
      <c r="T161" s="187" t="s">
        <v>168</v>
      </c>
      <c r="U161" s="104"/>
      <c r="V161" s="104"/>
      <c r="W161" s="214">
        <f>W136</f>
        <v>0.8</v>
      </c>
      <c r="X161" s="185" t="s">
        <v>83</v>
      </c>
      <c r="Z161" s="187" t="s">
        <v>168</v>
      </c>
      <c r="AA161" s="104"/>
      <c r="AB161" s="104"/>
      <c r="AC161" s="214">
        <f>AC136</f>
        <v>0.97</v>
      </c>
      <c r="AD161" s="185" t="s">
        <v>83</v>
      </c>
      <c r="AF161" s="187" t="s">
        <v>168</v>
      </c>
      <c r="AG161" s="104"/>
      <c r="AH161" s="104"/>
      <c r="AI161" s="214">
        <f>AI136</f>
        <v>0.9</v>
      </c>
      <c r="AJ161" s="185" t="s">
        <v>83</v>
      </c>
    </row>
    <row r="162" spans="2:36" x14ac:dyDescent="0.2">
      <c r="B162" s="268"/>
      <c r="H162" s="207" t="s">
        <v>88</v>
      </c>
      <c r="I162" s="195"/>
      <c r="J162" s="195"/>
      <c r="K162" s="259">
        <f>IFERROR(IF(K155&lt;K161,K154/K161,K154),0)</f>
        <v>145</v>
      </c>
      <c r="L162" s="190" t="s">
        <v>86</v>
      </c>
      <c r="N162" s="207" t="s">
        <v>88</v>
      </c>
      <c r="O162" s="195"/>
      <c r="P162" s="195"/>
      <c r="Q162" s="232">
        <f>IFERROR(IF(Q155&lt;Q161,Q154/Q161,Q154),0)</f>
        <v>25.510204081632654</v>
      </c>
      <c r="R162" s="190" t="s">
        <v>86</v>
      </c>
      <c r="T162" s="207" t="s">
        <v>88</v>
      </c>
      <c r="U162" s="195"/>
      <c r="V162" s="195"/>
      <c r="W162" s="232">
        <f>IFERROR(IF(W155&lt;W161,W154/W161,W154),0)</f>
        <v>145</v>
      </c>
      <c r="X162" s="190" t="s">
        <v>86</v>
      </c>
      <c r="Z162" s="207" t="s">
        <v>88</v>
      </c>
      <c r="AA162" s="195"/>
      <c r="AB162" s="195"/>
      <c r="AC162" s="232">
        <f>IFERROR(IF(AC155&lt;AC161,AC154/AC161,AC154),0)</f>
        <v>149.48453608247422</v>
      </c>
      <c r="AD162" s="190" t="s">
        <v>86</v>
      </c>
      <c r="AF162" s="207" t="s">
        <v>88</v>
      </c>
      <c r="AG162" s="195"/>
      <c r="AH162" s="195"/>
      <c r="AI162" s="232">
        <f>IFERROR(IF(AI155&lt;AI161,AI154/AI161,AI154),0)</f>
        <v>140</v>
      </c>
      <c r="AJ162" s="190" t="s">
        <v>86</v>
      </c>
    </row>
    <row r="163" spans="2:36" x14ac:dyDescent="0.2">
      <c r="B163" s="268"/>
      <c r="H163" s="207" t="s">
        <v>89</v>
      </c>
      <c r="I163" s="195"/>
      <c r="J163" s="195"/>
      <c r="K163" s="259">
        <f>IF(K155&lt;K161,K156-K162,0)</f>
        <v>0</v>
      </c>
      <c r="L163" s="190" t="s">
        <v>86</v>
      </c>
      <c r="N163" s="207" t="s">
        <v>89</v>
      </c>
      <c r="O163" s="195"/>
      <c r="P163" s="195"/>
      <c r="Q163" s="232">
        <f>IF(Q155&lt;Q161,Q156-Q162,0)</f>
        <v>2.2675736961451243</v>
      </c>
      <c r="R163" s="190" t="s">
        <v>86</v>
      </c>
      <c r="T163" s="207" t="s">
        <v>89</v>
      </c>
      <c r="U163" s="195"/>
      <c r="V163" s="195"/>
      <c r="W163" s="232">
        <f>IF(W155&lt;W161,W156-W162,0)</f>
        <v>0</v>
      </c>
      <c r="X163" s="190" t="s">
        <v>86</v>
      </c>
      <c r="Z163" s="207" t="s">
        <v>89</v>
      </c>
      <c r="AA163" s="195"/>
      <c r="AB163" s="195"/>
      <c r="AC163" s="232">
        <f>IF(AC155&lt;AC161,AC156-AC162,0)</f>
        <v>11.626575028636893</v>
      </c>
      <c r="AD163" s="190" t="s">
        <v>86</v>
      </c>
      <c r="AF163" s="207" t="s">
        <v>89</v>
      </c>
      <c r="AG163" s="195"/>
      <c r="AH163" s="195"/>
      <c r="AI163" s="232">
        <f>IF(AI155&lt;AI161,AI156-AI162,0)</f>
        <v>0</v>
      </c>
      <c r="AJ163" s="190" t="s">
        <v>86</v>
      </c>
    </row>
    <row r="164" spans="2:36" x14ac:dyDescent="0.2">
      <c r="B164" s="268"/>
      <c r="H164" s="251" t="s">
        <v>169</v>
      </c>
      <c r="I164" s="90" t="s">
        <v>25</v>
      </c>
      <c r="J164" s="92" t="s">
        <v>26</v>
      </c>
      <c r="K164" s="171"/>
      <c r="L164" s="80"/>
      <c r="N164" s="251" t="s">
        <v>169</v>
      </c>
      <c r="O164" s="90" t="s">
        <v>25</v>
      </c>
      <c r="P164" s="92" t="s">
        <v>26</v>
      </c>
      <c r="Q164" s="171"/>
      <c r="R164" s="80"/>
      <c r="T164" s="251" t="s">
        <v>169</v>
      </c>
      <c r="U164" s="90" t="s">
        <v>25</v>
      </c>
      <c r="V164" s="92" t="s">
        <v>26</v>
      </c>
      <c r="W164" s="171"/>
      <c r="X164" s="80"/>
      <c r="Z164" s="251" t="s">
        <v>169</v>
      </c>
      <c r="AA164" s="90" t="s">
        <v>25</v>
      </c>
      <c r="AB164" s="92" t="s">
        <v>26</v>
      </c>
      <c r="AC164" s="171"/>
      <c r="AD164" s="80"/>
      <c r="AF164" s="251" t="s">
        <v>169</v>
      </c>
      <c r="AG164" s="90" t="s">
        <v>25</v>
      </c>
      <c r="AH164" s="92" t="s">
        <v>26</v>
      </c>
      <c r="AI164" s="171"/>
      <c r="AJ164" s="80"/>
    </row>
    <row r="165" spans="2:36" ht="17" thickBot="1" x14ac:dyDescent="0.25">
      <c r="B165" s="268"/>
      <c r="H165" s="187" t="s">
        <v>96</v>
      </c>
      <c r="I165" s="171"/>
      <c r="J165" s="62">
        <v>85</v>
      </c>
      <c r="K165" s="104">
        <f>J165</f>
        <v>85</v>
      </c>
      <c r="L165" s="185" t="s">
        <v>97</v>
      </c>
      <c r="N165" s="187" t="s">
        <v>96</v>
      </c>
      <c r="O165" s="171"/>
      <c r="P165" s="62">
        <v>85</v>
      </c>
      <c r="Q165" s="104">
        <f>P165</f>
        <v>85</v>
      </c>
      <c r="R165" s="185" t="s">
        <v>97</v>
      </c>
      <c r="T165" s="187" t="s">
        <v>96</v>
      </c>
      <c r="U165" s="171"/>
      <c r="V165" s="62">
        <v>85</v>
      </c>
      <c r="W165" s="104">
        <f>V165</f>
        <v>85</v>
      </c>
      <c r="X165" s="185" t="s">
        <v>97</v>
      </c>
      <c r="Z165" s="187" t="s">
        <v>96</v>
      </c>
      <c r="AA165" s="171"/>
      <c r="AB165" s="62">
        <v>85</v>
      </c>
      <c r="AC165" s="104">
        <f>AB165</f>
        <v>85</v>
      </c>
      <c r="AD165" s="185" t="s">
        <v>97</v>
      </c>
      <c r="AF165" s="187" t="s">
        <v>96</v>
      </c>
      <c r="AG165" s="171"/>
      <c r="AH165" s="62">
        <v>85</v>
      </c>
      <c r="AI165" s="104">
        <f>AH165</f>
        <v>85</v>
      </c>
      <c r="AJ165" s="185" t="s">
        <v>97</v>
      </c>
    </row>
    <row r="166" spans="2:36" ht="18" thickTop="1" thickBot="1" x14ac:dyDescent="0.25">
      <c r="B166" s="268"/>
      <c r="H166" s="237" t="s">
        <v>99</v>
      </c>
      <c r="I166" s="69" t="s">
        <v>54</v>
      </c>
      <c r="J166" s="62"/>
      <c r="K166" s="236" cm="1">
        <f t="array" ref="K166">IF(ISBLANK(J166),INDEX(ProcesCost01[[#All],[Geen]:[Waarde MIN]],_xlfn.XMATCH('SCENARIO 4 - Vrij invulbaar'!H166,ProcesCost01[[#All],[Transportkosten]]),_xlfn.XMATCH('SCENARIO 4 - Vrij invulbaar'!I166,ProcesCost01[[#Headers],[Geen]:[Waarde MIN]])),J166)</f>
        <v>0.04</v>
      </c>
      <c r="L166" s="185" t="s">
        <v>100</v>
      </c>
      <c r="N166" s="237" t="s">
        <v>99</v>
      </c>
      <c r="O166" s="69" t="s">
        <v>54</v>
      </c>
      <c r="P166" s="62"/>
      <c r="Q166" s="236" cm="1">
        <f t="array" ref="Q166">IF(ISBLANK(P166),INDEX(ProcesCost01[[#All],[Geen]:[Waarde MIN]],_xlfn.XMATCH('SCENARIO 4 - Vrij invulbaar'!N166,ProcesCost01[[#All],[Transportkosten]]),_xlfn.XMATCH('SCENARIO 4 - Vrij invulbaar'!O166,ProcesCost01[[#Headers],[Geen]:[Waarde MIN]])),P166)</f>
        <v>0.04</v>
      </c>
      <c r="R166" s="185" t="s">
        <v>100</v>
      </c>
      <c r="T166" s="237" t="s">
        <v>99</v>
      </c>
      <c r="U166" s="69" t="s">
        <v>54</v>
      </c>
      <c r="V166" s="62"/>
      <c r="W166" s="236" cm="1">
        <f t="array" ref="W166">IF(ISBLANK(V166),INDEX(ProcesCost01[[#All],[Geen]:[Waarde MIN]],_xlfn.XMATCH('SCENARIO 4 - Vrij invulbaar'!T166,ProcesCost01[[#All],[Transportkosten]]),_xlfn.XMATCH('SCENARIO 4 - Vrij invulbaar'!U166,ProcesCost01[[#Headers],[Geen]:[Waarde MIN]])),V166)</f>
        <v>0.04</v>
      </c>
      <c r="X166" s="185" t="s">
        <v>100</v>
      </c>
      <c r="Z166" s="237" t="s">
        <v>99</v>
      </c>
      <c r="AA166" s="69" t="s">
        <v>54</v>
      </c>
      <c r="AB166" s="62"/>
      <c r="AC166" s="236" cm="1">
        <f t="array" ref="AC166">IF(ISBLANK(AB166),INDEX(ProcesCost01[[#All],[Geen]:[Waarde MIN]],_xlfn.XMATCH('SCENARIO 4 - Vrij invulbaar'!Z166,ProcesCost01[[#All],[Transportkosten]]),_xlfn.XMATCH('SCENARIO 4 - Vrij invulbaar'!AA166,ProcesCost01[[#Headers],[Geen]:[Waarde MIN]])),AB166)</f>
        <v>0.04</v>
      </c>
      <c r="AD166" s="185" t="s">
        <v>100</v>
      </c>
      <c r="AF166" s="237" t="s">
        <v>99</v>
      </c>
      <c r="AG166" s="69" t="s">
        <v>54</v>
      </c>
      <c r="AH166" s="62"/>
      <c r="AI166" s="236" cm="1">
        <f t="array" ref="AI166">IF(ISBLANK(AH166),INDEX(ProcesCost01[[#All],[Geen]:[Waarde MIN]],_xlfn.XMATCH('SCENARIO 4 - Vrij invulbaar'!AF166,ProcesCost01[[#All],[Transportkosten]]),_xlfn.XMATCH('SCENARIO 4 - Vrij invulbaar'!AG166,ProcesCost01[[#Headers],[Geen]:[Waarde MIN]])),AH166)</f>
        <v>0.04</v>
      </c>
      <c r="AJ166" s="185" t="s">
        <v>100</v>
      </c>
    </row>
    <row r="167" spans="2:36" ht="17" thickTop="1" x14ac:dyDescent="0.2">
      <c r="B167" s="268"/>
      <c r="H167" s="207" t="s">
        <v>101</v>
      </c>
      <c r="I167" s="171"/>
      <c r="J167" s="62"/>
      <c r="K167" s="192">
        <f>IF(K155&lt;K161,IF(I158="Nee",0,IF(ISBLANK(J167),K165*K166*K156,J167)),0)</f>
        <v>0</v>
      </c>
      <c r="L167" s="80" t="s">
        <v>102</v>
      </c>
      <c r="N167" s="207" t="s">
        <v>101</v>
      </c>
      <c r="O167" s="171"/>
      <c r="P167" s="62"/>
      <c r="Q167" s="192">
        <f>IF(Q155&lt;Q161,IF(O158="Nee",0,IF(ISBLANK(P167),Q165*Q166*Q156,P167)),0)</f>
        <v>94.444444444444443</v>
      </c>
      <c r="R167" s="80" t="s">
        <v>102</v>
      </c>
      <c r="T167" s="207" t="s">
        <v>101</v>
      </c>
      <c r="U167" s="171"/>
      <c r="V167" s="62"/>
      <c r="W167" s="192">
        <f>IF(W155&lt;W161,IF(U158="Nee",0,IF(ISBLANK(V167),W165*W166*W156,V167)),0)</f>
        <v>0</v>
      </c>
      <c r="X167" s="80" t="s">
        <v>102</v>
      </c>
      <c r="Z167" s="207" t="s">
        <v>101</v>
      </c>
      <c r="AA167" s="171"/>
      <c r="AB167" s="62"/>
      <c r="AC167" s="192">
        <f>IF(AC155&lt;AC161,IF(AA158="Nee",0,IF(ISBLANK(AB167),AC165*AC166*AC156,AB167)),0)</f>
        <v>547.77777777777783</v>
      </c>
      <c r="AD167" s="80" t="s">
        <v>102</v>
      </c>
      <c r="AF167" s="207" t="s">
        <v>101</v>
      </c>
      <c r="AG167" s="171"/>
      <c r="AH167" s="62"/>
      <c r="AI167" s="192">
        <f>IF(AI155&lt;AI161,IF(AG158="Nee",0,IF(ISBLANK(AH167),AI165*AI166*AI156,AH167)),0)</f>
        <v>0</v>
      </c>
      <c r="AJ167" s="80" t="s">
        <v>102</v>
      </c>
    </row>
    <row r="168" spans="2:36" ht="17" thickBot="1" x14ac:dyDescent="0.25">
      <c r="B168" s="268"/>
      <c r="H168" s="251" t="s">
        <v>170</v>
      </c>
      <c r="I168" s="90" t="s">
        <v>25</v>
      </c>
      <c r="J168" s="92" t="s">
        <v>26</v>
      </c>
      <c r="K168" s="171"/>
      <c r="L168" s="80"/>
      <c r="N168" s="251" t="s">
        <v>170</v>
      </c>
      <c r="O168" s="90" t="s">
        <v>25</v>
      </c>
      <c r="P168" s="92" t="s">
        <v>26</v>
      </c>
      <c r="Q168" s="171"/>
      <c r="R168" s="80"/>
      <c r="T168" s="251" t="s">
        <v>170</v>
      </c>
      <c r="U168" s="90" t="s">
        <v>25</v>
      </c>
      <c r="V168" s="92" t="s">
        <v>26</v>
      </c>
      <c r="W168" s="171"/>
      <c r="X168" s="80"/>
      <c r="Z168" s="251" t="s">
        <v>170</v>
      </c>
      <c r="AA168" s="90" t="s">
        <v>25</v>
      </c>
      <c r="AB168" s="92" t="s">
        <v>26</v>
      </c>
      <c r="AC168" s="171"/>
      <c r="AD168" s="80"/>
      <c r="AF168" s="251" t="s">
        <v>170</v>
      </c>
      <c r="AG168" s="90" t="s">
        <v>25</v>
      </c>
      <c r="AH168" s="92" t="s">
        <v>26</v>
      </c>
      <c r="AI168" s="171"/>
      <c r="AJ168" s="80"/>
    </row>
    <row r="169" spans="2:36" ht="18" thickTop="1" thickBot="1" x14ac:dyDescent="0.25">
      <c r="H169" s="237" t="s">
        <v>114</v>
      </c>
      <c r="I169" s="69" t="s">
        <v>54</v>
      </c>
      <c r="J169" s="77"/>
      <c r="K169" s="240" cm="1">
        <f t="array" ref="K169">IF(ISBLANK(J169),INDEX(DryingCost1[[#All],[Geen]:[Waarde MIN]],_xlfn.XMATCH('SCENARIO 4 - Vrij invulbaar'!H169,DryingCost1[[#All],[Drogen - Kosten]]),_xlfn.XMATCH('SCENARIO 4 - Vrij invulbaar'!I169,DryingCost1[[#Headers],[Geen]:[Waarde MIN]])),J169)</f>
        <v>400</v>
      </c>
      <c r="L169" s="185" t="s">
        <v>115</v>
      </c>
      <c r="N169" s="237" t="s">
        <v>171</v>
      </c>
      <c r="O169" s="69" t="s">
        <v>54</v>
      </c>
      <c r="P169" s="77"/>
      <c r="Q169" s="240" cm="1">
        <f t="array" ref="Q169">IF(ISBLANK(P169),INDEX(DryingCost1[[#All],[Geen]:[Waarde MIN]],_xlfn.XMATCH('SCENARIO 4 - Vrij invulbaar'!N169,DryingCost1[[#All],[Drogen - Kosten]]),_xlfn.XMATCH('SCENARIO 4 - Vrij invulbaar'!O169,DryingCost1[[#Headers],[Geen]:[Waarde MIN]])),P169)</f>
        <v>550</v>
      </c>
      <c r="R169" s="185" t="s">
        <v>115</v>
      </c>
      <c r="T169" s="237" t="s">
        <v>114</v>
      </c>
      <c r="U169" s="69" t="s">
        <v>52</v>
      </c>
      <c r="V169" s="77"/>
      <c r="W169" s="240" cm="1">
        <f t="array" ref="W169">IF(ISBLANK(V169),INDEX(DryingCost1[[#All],[Geen]:[Waarde MIN]],_xlfn.XMATCH('SCENARIO 4 - Vrij invulbaar'!T169,DryingCost1[[#All],[Drogen - Kosten]]),_xlfn.XMATCH('SCENARIO 4 - Vrij invulbaar'!U169,DryingCost1[[#Headers],[Geen]:[Waarde MIN]])),V169)</f>
        <v>500</v>
      </c>
      <c r="X169" s="185" t="s">
        <v>115</v>
      </c>
      <c r="Z169" s="237" t="s">
        <v>114</v>
      </c>
      <c r="AA169" s="69" t="s">
        <v>54</v>
      </c>
      <c r="AB169" s="77"/>
      <c r="AC169" s="240" cm="1">
        <f t="array" ref="AC169">IF(ISBLANK(AB169),INDEX(DryingCost1[[#All],[Geen]:[Waarde MIN]],_xlfn.XMATCH('SCENARIO 4 - Vrij invulbaar'!Z169,DryingCost1[[#All],[Drogen - Kosten]]),_xlfn.XMATCH('SCENARIO 4 - Vrij invulbaar'!AA169,DryingCost1[[#Headers],[Geen]:[Waarde MIN]])),AB169)</f>
        <v>400</v>
      </c>
      <c r="AD169" s="185" t="s">
        <v>115</v>
      </c>
      <c r="AF169" s="237" t="s">
        <v>114</v>
      </c>
      <c r="AG169" s="69" t="s">
        <v>54</v>
      </c>
      <c r="AH169" s="77"/>
      <c r="AI169" s="240" cm="1">
        <f t="array" ref="AI169">IF(ISBLANK(AH169),INDEX(DryingCost1[[#All],[Geen]:[Waarde MIN]],_xlfn.XMATCH('SCENARIO 4 - Vrij invulbaar'!AF169,DryingCost1[[#All],[Drogen - Kosten]]),_xlfn.XMATCH('SCENARIO 4 - Vrij invulbaar'!AG169,DryingCost1[[#Headers],[Geen]:[Waarde MIN]])),AH169)</f>
        <v>400</v>
      </c>
      <c r="AJ169" s="185" t="s">
        <v>115</v>
      </c>
    </row>
    <row r="170" spans="2:36" ht="18" thickTop="1" thickBot="1" x14ac:dyDescent="0.25">
      <c r="H170" s="187" t="s">
        <v>117</v>
      </c>
      <c r="I170" s="69" t="s">
        <v>54</v>
      </c>
      <c r="J170" s="76"/>
      <c r="K170" s="241" cm="1">
        <f t="array" ref="K170">IF(ISBLANK(J170),INDEX(DryingCost11[[#All],[Geen]:[Waarde MIN]],_xlfn.XMATCH('SCENARIO 4 - Vrij invulbaar'!H169,DryingCost11[[#All],[Drogen - Producteffciency]]),_xlfn.XMATCH('SCENARIO 4 - Vrij invulbaar'!I170,DryingCost11[[#Headers],[Geen]:[Waarde MIN]])),J170)</f>
        <v>0.9</v>
      </c>
      <c r="L170" s="185" t="s">
        <v>58</v>
      </c>
      <c r="N170" s="187" t="s">
        <v>117</v>
      </c>
      <c r="O170" s="69" t="s">
        <v>54</v>
      </c>
      <c r="P170" s="76"/>
      <c r="Q170" s="241" cm="1">
        <f t="array" ref="Q170">IF(ISBLANK(P170),INDEX(DryingCost11[[#All],[Geen]:[Waarde MIN]],_xlfn.XMATCH('SCENARIO 4 - Vrij invulbaar'!N169,DryingCost11[[#All],[Drogen - Producteffciency]]),_xlfn.XMATCH('SCENARIO 4 - Vrij invulbaar'!O170,DryingCost11[[#Headers],[Geen]:[Waarde MIN]])),P170)</f>
        <v>1</v>
      </c>
      <c r="R170" s="185" t="s">
        <v>58</v>
      </c>
      <c r="T170" s="206" t="s">
        <v>117</v>
      </c>
      <c r="U170" s="69" t="s">
        <v>51</v>
      </c>
      <c r="V170" s="76"/>
      <c r="W170" s="241" cm="1">
        <f t="array" ref="W170">IF(ISBLANK(V170),INDEX(DryingCost11[[#All],[Geen]:[Waarde MIN]],_xlfn.XMATCH('SCENARIO 4 - Vrij invulbaar'!T169,DryingCost11[[#All],[Drogen - Producteffciency]]),_xlfn.XMATCH('SCENARIO 4 - Vrij invulbaar'!U170,DryingCost11[[#Headers],[Geen]:[Waarde MIN]])),V170)</f>
        <v>0.85</v>
      </c>
      <c r="X170" s="185" t="s">
        <v>58</v>
      </c>
      <c r="Z170" s="206" t="s">
        <v>117</v>
      </c>
      <c r="AA170" s="69" t="s">
        <v>54</v>
      </c>
      <c r="AB170" s="76"/>
      <c r="AC170" s="241" cm="1">
        <f t="array" ref="AC170">IF(ISBLANK(AB170),INDEX(DryingCost11[[#All],[Geen]:[Waarde MIN]],_xlfn.XMATCH('SCENARIO 4 - Vrij invulbaar'!Z169,DryingCost11[[#All],[Drogen - Producteffciency]]),_xlfn.XMATCH('SCENARIO 4 - Vrij invulbaar'!AA170,DryingCost11[[#Headers],[Geen]:[Waarde MIN]])),AB170)</f>
        <v>0.9</v>
      </c>
      <c r="AD170" s="185" t="s">
        <v>58</v>
      </c>
      <c r="AF170" s="206" t="s">
        <v>117</v>
      </c>
      <c r="AG170" s="69" t="s">
        <v>54</v>
      </c>
      <c r="AH170" s="76"/>
      <c r="AI170" s="241" cm="1">
        <f t="array" ref="AI170">IF(ISBLANK(AH170),INDEX(DryingCost11[[#All],[Geen]:[Waarde MIN]],_xlfn.XMATCH('SCENARIO 4 - Vrij invulbaar'!AF169,DryingCost11[[#All],[Drogen - Producteffciency]]),_xlfn.XMATCH('SCENARIO 4 - Vrij invulbaar'!AG170,DryingCost11[[#Headers],[Geen]:[Waarde MIN]])),AH170)</f>
        <v>0.9</v>
      </c>
      <c r="AJ170" s="185" t="s">
        <v>58</v>
      </c>
    </row>
    <row r="171" spans="2:36" ht="17" thickTop="1" x14ac:dyDescent="0.2">
      <c r="H171" s="238" t="s">
        <v>111</v>
      </c>
      <c r="I171" s="171"/>
      <c r="J171" s="62"/>
      <c r="K171" s="192">
        <f>IF(I158="Nee",0,IF(ISBLANK(J171),K169*K163,J171))</f>
        <v>0</v>
      </c>
      <c r="L171" s="80" t="s">
        <v>102</v>
      </c>
      <c r="N171" s="238" t="s">
        <v>111</v>
      </c>
      <c r="O171" s="171"/>
      <c r="P171" s="62"/>
      <c r="Q171" s="192">
        <f>IF(O158="Nee",0,IF(ISBLANK(P171),Q169*Q163,P171))</f>
        <v>1247.1655328798183</v>
      </c>
      <c r="R171" s="80" t="s">
        <v>102</v>
      </c>
      <c r="T171" s="238" t="s">
        <v>111</v>
      </c>
      <c r="U171" s="171"/>
      <c r="V171" s="62"/>
      <c r="W171" s="192">
        <f>IF(U158="Nee",0,IF(ISBLANK(V171),W169*W163,V171))</f>
        <v>0</v>
      </c>
      <c r="X171" s="80" t="s">
        <v>102</v>
      </c>
      <c r="Z171" s="238" t="s">
        <v>111</v>
      </c>
      <c r="AA171" s="171"/>
      <c r="AB171" s="62"/>
      <c r="AC171" s="192">
        <f>IF(AA158="Nee",0,IF(ISBLANK(AB171),AC169*AC163,AB171))</f>
        <v>4650.6300114547576</v>
      </c>
      <c r="AD171" s="80" t="s">
        <v>102</v>
      </c>
      <c r="AF171" s="238" t="s">
        <v>111</v>
      </c>
      <c r="AG171" s="171"/>
      <c r="AH171" s="62"/>
      <c r="AI171" s="192">
        <f>IF(AG158="Nee",0,IF(ISBLANK(AH171),AI169*AI163,AH171))</f>
        <v>0</v>
      </c>
      <c r="AJ171" s="80" t="s">
        <v>102</v>
      </c>
    </row>
    <row r="172" spans="2:36" x14ac:dyDescent="0.2">
      <c r="H172" s="207" t="s">
        <v>118</v>
      </c>
      <c r="I172" s="171"/>
      <c r="J172" s="171"/>
      <c r="K172" s="259">
        <f>IF(K155&lt;K161,IF(I158="Nee",0,K162*K170),0)</f>
        <v>0</v>
      </c>
      <c r="L172" s="80" t="s">
        <v>86</v>
      </c>
      <c r="N172" s="207" t="s">
        <v>118</v>
      </c>
      <c r="O172" s="171"/>
      <c r="P172" s="171"/>
      <c r="Q172" s="221">
        <f>IF(Q155&lt;Q161,IF(O158="Nee",0,Q162*Q170),0)</f>
        <v>25.510204081632654</v>
      </c>
      <c r="R172" s="80" t="s">
        <v>86</v>
      </c>
      <c r="T172" s="207" t="s">
        <v>118</v>
      </c>
      <c r="U172" s="171"/>
      <c r="V172" s="171"/>
      <c r="W172" s="221">
        <f>IF(W155&lt;W161,IF(U158="Nee",0,W162*W170),0)</f>
        <v>0</v>
      </c>
      <c r="X172" s="80" t="s">
        <v>86</v>
      </c>
      <c r="Z172" s="207" t="s">
        <v>118</v>
      </c>
      <c r="AA172" s="171"/>
      <c r="AB172" s="171"/>
      <c r="AC172" s="221">
        <f>IF(AC155&lt;AC161,IF(AA158="Nee",0,AC162*AC170),0)</f>
        <v>134.53608247422682</v>
      </c>
      <c r="AD172" s="80" t="s">
        <v>86</v>
      </c>
      <c r="AF172" s="207" t="s">
        <v>118</v>
      </c>
      <c r="AG172" s="171"/>
      <c r="AH172" s="171"/>
      <c r="AI172" s="221">
        <f>IF(AI155&lt;AI161,IF(AG158="Nee",0,AI162*AI170),0)</f>
        <v>0</v>
      </c>
      <c r="AJ172" s="80" t="s">
        <v>86</v>
      </c>
    </row>
    <row r="173" spans="2:36" x14ac:dyDescent="0.2">
      <c r="E173" s="28"/>
      <c r="H173" s="207" t="s">
        <v>120</v>
      </c>
      <c r="I173" s="171"/>
      <c r="J173" s="171"/>
      <c r="K173" s="259">
        <f>IF(K155&lt;K161,IF(I158="Nee",0,K162-K172),0)</f>
        <v>0</v>
      </c>
      <c r="L173" s="80" t="s">
        <v>86</v>
      </c>
      <c r="N173" s="207" t="s">
        <v>120</v>
      </c>
      <c r="O173" s="171"/>
      <c r="P173" s="171"/>
      <c r="Q173" s="221">
        <f>IF(Q155&lt;Q161,IF(O158="Nee",0,Q162-Q172),0)</f>
        <v>0</v>
      </c>
      <c r="R173" s="80" t="s">
        <v>86</v>
      </c>
      <c r="T173" s="207" t="s">
        <v>120</v>
      </c>
      <c r="U173" s="171"/>
      <c r="V173" s="171"/>
      <c r="W173" s="221">
        <f>IF(W155&lt;W161,IF(U158="Nee",0,W162-W172),0)</f>
        <v>0</v>
      </c>
      <c r="X173" s="80" t="s">
        <v>86</v>
      </c>
      <c r="Z173" s="207" t="s">
        <v>120</v>
      </c>
      <c r="AA173" s="171"/>
      <c r="AB173" s="171"/>
      <c r="AC173" s="221">
        <f>IF(AC155&lt;AC161,IF(AA158="Nee",0,AC162-AC172),0)</f>
        <v>14.948453608247405</v>
      </c>
      <c r="AD173" s="80" t="s">
        <v>86</v>
      </c>
      <c r="AF173" s="207" t="s">
        <v>120</v>
      </c>
      <c r="AG173" s="171"/>
      <c r="AH173" s="171"/>
      <c r="AI173" s="221">
        <f>IF(AI155&lt;AI161,IF(AG158="Nee",0,AI162-AI172),0)</f>
        <v>0</v>
      </c>
      <c r="AJ173" s="80" t="s">
        <v>86</v>
      </c>
    </row>
    <row r="174" spans="2:36" ht="17" thickBot="1" x14ac:dyDescent="0.25">
      <c r="H174" s="79"/>
      <c r="I174" s="171"/>
      <c r="J174" s="171"/>
      <c r="K174" s="171"/>
      <c r="L174" s="80"/>
      <c r="N174" s="79"/>
      <c r="O174" s="171"/>
      <c r="P174" s="171"/>
      <c r="Q174" s="171"/>
      <c r="R174" s="80"/>
      <c r="T174" s="79"/>
      <c r="U174" s="171"/>
      <c r="V174" s="171"/>
      <c r="W174" s="171"/>
      <c r="X174" s="80"/>
      <c r="Z174" s="79"/>
      <c r="AA174" s="171"/>
      <c r="AB174" s="171"/>
      <c r="AC174" s="171"/>
      <c r="AD174" s="80"/>
      <c r="AF174" s="79"/>
      <c r="AG174" s="171"/>
      <c r="AH174" s="171"/>
      <c r="AI174" s="171"/>
      <c r="AJ174" s="80"/>
    </row>
    <row r="175" spans="2:36" ht="18" thickTop="1" thickBot="1" x14ac:dyDescent="0.25">
      <c r="H175" s="205" t="s">
        <v>172</v>
      </c>
      <c r="I175" s="69" t="s">
        <v>167</v>
      </c>
      <c r="J175" s="171"/>
      <c r="K175" s="171"/>
      <c r="L175" s="80"/>
      <c r="N175" s="205" t="s">
        <v>172</v>
      </c>
      <c r="O175" s="69" t="s">
        <v>167</v>
      </c>
      <c r="P175" s="171"/>
      <c r="Q175" s="171"/>
      <c r="R175" s="80"/>
      <c r="T175" s="205" t="s">
        <v>172</v>
      </c>
      <c r="U175" s="69" t="s">
        <v>167</v>
      </c>
      <c r="V175" s="171"/>
      <c r="W175" s="171"/>
      <c r="X175" s="80"/>
      <c r="Z175" s="205" t="s">
        <v>172</v>
      </c>
      <c r="AA175" s="69" t="s">
        <v>167</v>
      </c>
      <c r="AB175" s="171"/>
      <c r="AC175" s="171"/>
      <c r="AD175" s="80"/>
      <c r="AF175" s="205" t="s">
        <v>172</v>
      </c>
      <c r="AG175" s="69" t="s">
        <v>167</v>
      </c>
      <c r="AH175" s="171"/>
      <c r="AI175" s="171"/>
      <c r="AJ175" s="80"/>
    </row>
    <row r="176" spans="2:36" ht="17" thickTop="1" x14ac:dyDescent="0.2">
      <c r="H176" s="201" t="s">
        <v>173</v>
      </c>
      <c r="I176" s="171"/>
      <c r="J176" s="171"/>
      <c r="K176" s="219">
        <f>IF(K172&gt;0,IF(I158='DATA - Variabelen &amp; waarden'!$B$326,K172,K156),K156)</f>
        <v>161.11111111111111</v>
      </c>
      <c r="L176" s="80" t="s">
        <v>86</v>
      </c>
      <c r="N176" s="201" t="s">
        <v>173</v>
      </c>
      <c r="O176" s="171"/>
      <c r="P176" s="171"/>
      <c r="Q176" s="219">
        <f>IF(Q172&gt;0,IF(O158='DATA - Variabelen &amp; waarden'!$B$326,Q172,Q156),Q156)</f>
        <v>25.510204081632654</v>
      </c>
      <c r="R176" s="80" t="s">
        <v>86</v>
      </c>
      <c r="T176" s="201" t="s">
        <v>173</v>
      </c>
      <c r="U176" s="171"/>
      <c r="V176" s="171"/>
      <c r="W176" s="219">
        <f>IF(W172&gt;0,IF(U158='DATA - Variabelen &amp; waarden'!$B$326,W172,W156),W156)</f>
        <v>161.11111111111111</v>
      </c>
      <c r="X176" s="80" t="s">
        <v>86</v>
      </c>
      <c r="Z176" s="201" t="s">
        <v>173</v>
      </c>
      <c r="AA176" s="171"/>
      <c r="AB176" s="171"/>
      <c r="AC176" s="219">
        <f>IF(AC172&gt;0,IF(AA158='DATA - Variabelen &amp; waarden'!$B$326,AC172,AC156),AC156)</f>
        <v>134.53608247422682</v>
      </c>
      <c r="AD176" s="80" t="s">
        <v>86</v>
      </c>
      <c r="AF176" s="201" t="s">
        <v>173</v>
      </c>
      <c r="AG176" s="171"/>
      <c r="AH176" s="171"/>
      <c r="AI176" s="219">
        <f>IF(AI172&gt;0,IF(AG158='DATA - Variabelen &amp; waarden'!$B$326,AI172,AI156),AI156)</f>
        <v>155.55555555555554</v>
      </c>
      <c r="AJ176" s="80" t="s">
        <v>86</v>
      </c>
    </row>
    <row r="177" spans="8:36" x14ac:dyDescent="0.2">
      <c r="H177" s="260" t="s">
        <v>95</v>
      </c>
      <c r="I177" s="90" t="s">
        <v>25</v>
      </c>
      <c r="J177" s="92" t="s">
        <v>26</v>
      </c>
      <c r="K177" s="171"/>
      <c r="L177" s="80"/>
      <c r="N177" s="260" t="s">
        <v>95</v>
      </c>
      <c r="O177" s="90" t="s">
        <v>25</v>
      </c>
      <c r="P177" s="92" t="s">
        <v>26</v>
      </c>
      <c r="Q177" s="171"/>
      <c r="R177" s="80"/>
      <c r="T177" s="260" t="s">
        <v>95</v>
      </c>
      <c r="U177" s="90" t="s">
        <v>25</v>
      </c>
      <c r="V177" s="92" t="s">
        <v>26</v>
      </c>
      <c r="W177" s="171"/>
      <c r="X177" s="80"/>
      <c r="Z177" s="260" t="s">
        <v>95</v>
      </c>
      <c r="AA177" s="90" t="s">
        <v>25</v>
      </c>
      <c r="AB177" s="92" t="s">
        <v>26</v>
      </c>
      <c r="AC177" s="171"/>
      <c r="AD177" s="80"/>
      <c r="AF177" s="260" t="s">
        <v>95</v>
      </c>
      <c r="AG177" s="90" t="s">
        <v>25</v>
      </c>
      <c r="AH177" s="92" t="s">
        <v>26</v>
      </c>
      <c r="AI177" s="171"/>
      <c r="AJ177" s="80"/>
    </row>
    <row r="178" spans="8:36" ht="17" thickBot="1" x14ac:dyDescent="0.25">
      <c r="H178" s="187" t="s">
        <v>174</v>
      </c>
      <c r="I178" s="171"/>
      <c r="J178" s="62">
        <v>85</v>
      </c>
      <c r="K178" s="104">
        <f>J178</f>
        <v>85</v>
      </c>
      <c r="L178" s="185" t="s">
        <v>97</v>
      </c>
      <c r="N178" s="187" t="s">
        <v>174</v>
      </c>
      <c r="O178" s="171"/>
      <c r="P178" s="62">
        <v>85</v>
      </c>
      <c r="Q178" s="104">
        <f>P178</f>
        <v>85</v>
      </c>
      <c r="R178" s="185" t="s">
        <v>97</v>
      </c>
      <c r="T178" s="187" t="s">
        <v>174</v>
      </c>
      <c r="U178" s="171"/>
      <c r="V178" s="62">
        <v>85</v>
      </c>
      <c r="W178" s="104">
        <f>V178</f>
        <v>85</v>
      </c>
      <c r="X178" s="185" t="s">
        <v>97</v>
      </c>
      <c r="Z178" s="187" t="s">
        <v>174</v>
      </c>
      <c r="AA178" s="171"/>
      <c r="AB178" s="62">
        <v>85</v>
      </c>
      <c r="AC178" s="104">
        <f>AB178</f>
        <v>85</v>
      </c>
      <c r="AD178" s="185" t="s">
        <v>97</v>
      </c>
      <c r="AF178" s="187" t="s">
        <v>174</v>
      </c>
      <c r="AG178" s="171"/>
      <c r="AH178" s="62">
        <v>85</v>
      </c>
      <c r="AI178" s="104">
        <f>AH178</f>
        <v>85</v>
      </c>
      <c r="AJ178" s="185" t="s">
        <v>97</v>
      </c>
    </row>
    <row r="179" spans="8:36" ht="18" thickTop="1" thickBot="1" x14ac:dyDescent="0.25">
      <c r="H179" s="237" t="s">
        <v>99</v>
      </c>
      <c r="I179" s="69" t="s">
        <v>54</v>
      </c>
      <c r="J179" s="62"/>
      <c r="K179" s="236" cm="1">
        <f t="array" ref="K179">IF(ISBLANK(J179),INDEX(ProcesCost01[[#All],[Geen]:[Waarde MIN]],_xlfn.XMATCH('SCENARIO 4 - Vrij invulbaar'!H179,ProcesCost01[[#All],[Transportkosten]]),_xlfn.XMATCH('SCENARIO 4 - Vrij invulbaar'!I179,ProcesCost01[[#Headers],[Geen]:[Waarde MIN]])),J179)</f>
        <v>0.04</v>
      </c>
      <c r="L179" s="185" t="s">
        <v>100</v>
      </c>
      <c r="N179" s="237" t="s">
        <v>99</v>
      </c>
      <c r="O179" s="69" t="s">
        <v>54</v>
      </c>
      <c r="P179" s="62"/>
      <c r="Q179" s="236" cm="1">
        <f t="array" ref="Q179">IF(ISBLANK(P179),INDEX(ProcesCost01[[#All],[Geen]:[Waarde MIN]],_xlfn.XMATCH('SCENARIO 4 - Vrij invulbaar'!N179,ProcesCost01[[#All],[Transportkosten]]),_xlfn.XMATCH('SCENARIO 4 - Vrij invulbaar'!O179,ProcesCost01[[#Headers],[Geen]:[Waarde MIN]])),P179)</f>
        <v>0.04</v>
      </c>
      <c r="R179" s="185" t="s">
        <v>100</v>
      </c>
      <c r="T179" s="237" t="s">
        <v>99</v>
      </c>
      <c r="U179" s="69" t="s">
        <v>54</v>
      </c>
      <c r="V179" s="62"/>
      <c r="W179" s="236" cm="1">
        <f t="array" ref="W179">IF(ISBLANK(V179),INDEX(ProcesCost01[[#All],[Geen]:[Waarde MIN]],_xlfn.XMATCH('SCENARIO 4 - Vrij invulbaar'!T179,ProcesCost01[[#All],[Transportkosten]]),_xlfn.XMATCH('SCENARIO 4 - Vrij invulbaar'!U179,ProcesCost01[[#Headers],[Geen]:[Waarde MIN]])),V179)</f>
        <v>0.04</v>
      </c>
      <c r="X179" s="185" t="s">
        <v>100</v>
      </c>
      <c r="Z179" s="237" t="s">
        <v>99</v>
      </c>
      <c r="AA179" s="69" t="s">
        <v>54</v>
      </c>
      <c r="AB179" s="62"/>
      <c r="AC179" s="236" cm="1">
        <f t="array" ref="AC179">IF(ISBLANK(AB179),INDEX(ProcesCost01[[#All],[Geen]:[Waarde MIN]],_xlfn.XMATCH('SCENARIO 4 - Vrij invulbaar'!Z179,ProcesCost01[[#All],[Transportkosten]]),_xlfn.XMATCH('SCENARIO 4 - Vrij invulbaar'!AA179,ProcesCost01[[#Headers],[Geen]:[Waarde MIN]])),AB179)</f>
        <v>0.04</v>
      </c>
      <c r="AD179" s="185" t="s">
        <v>100</v>
      </c>
      <c r="AF179" s="237" t="s">
        <v>99</v>
      </c>
      <c r="AG179" s="69" t="s">
        <v>54</v>
      </c>
      <c r="AH179" s="62"/>
      <c r="AI179" s="236" cm="1">
        <f t="array" ref="AI179">IF(ISBLANK(AH179),INDEX(ProcesCost01[[#All],[Geen]:[Waarde MIN]],_xlfn.XMATCH('SCENARIO 4 - Vrij invulbaar'!AF179,ProcesCost01[[#All],[Transportkosten]]),_xlfn.XMATCH('SCENARIO 4 - Vrij invulbaar'!AG179,ProcesCost01[[#Headers],[Geen]:[Waarde MIN]])),AH179)</f>
        <v>0.04</v>
      </c>
      <c r="AJ179" s="185" t="s">
        <v>100</v>
      </c>
    </row>
    <row r="180" spans="8:36" ht="17" thickTop="1" x14ac:dyDescent="0.2">
      <c r="H180" s="207" t="s">
        <v>175</v>
      </c>
      <c r="I180" s="171"/>
      <c r="J180" s="62"/>
      <c r="K180" s="192">
        <f>IF(I175="Nee",0,IF(ISBLANK(J180),K178*K179*K176,J180))</f>
        <v>547.77777777777783</v>
      </c>
      <c r="L180" s="80" t="s">
        <v>102</v>
      </c>
      <c r="N180" s="207" t="s">
        <v>175</v>
      </c>
      <c r="O180" s="171"/>
      <c r="P180" s="62"/>
      <c r="Q180" s="192">
        <f>IF(O175="Nee",0,IF(ISBLANK(P180),Q178*Q179*Q176,P180))</f>
        <v>86.734693877551024</v>
      </c>
      <c r="R180" s="80" t="s">
        <v>102</v>
      </c>
      <c r="T180" s="207" t="s">
        <v>175</v>
      </c>
      <c r="U180" s="171"/>
      <c r="V180" s="62"/>
      <c r="W180" s="192">
        <f>IF(U175="Nee",0,IF(ISBLANK(V180),W178*W179*W176,V180))</f>
        <v>547.77777777777783</v>
      </c>
      <c r="X180" s="80" t="s">
        <v>102</v>
      </c>
      <c r="Z180" s="207" t="s">
        <v>175</v>
      </c>
      <c r="AA180" s="171"/>
      <c r="AB180" s="62"/>
      <c r="AC180" s="192">
        <f>IF(AA175="Nee",0,IF(ISBLANK(AB180),AC178*AC179*AC176,AB180))</f>
        <v>457.42268041237116</v>
      </c>
      <c r="AD180" s="80" t="s">
        <v>102</v>
      </c>
      <c r="AF180" s="207" t="s">
        <v>175</v>
      </c>
      <c r="AG180" s="171"/>
      <c r="AH180" s="62"/>
      <c r="AI180" s="192">
        <f>IF(AG175="Nee",0,IF(ISBLANK(AH180),AI178*AI179*AI176,AH180))</f>
        <v>528.8888888888888</v>
      </c>
      <c r="AJ180" s="80" t="s">
        <v>102</v>
      </c>
    </row>
    <row r="181" spans="8:36" ht="17" thickBot="1" x14ac:dyDescent="0.25">
      <c r="H181" s="260" t="s">
        <v>176</v>
      </c>
      <c r="I181" s="90" t="s">
        <v>25</v>
      </c>
      <c r="J181" s="92" t="s">
        <v>26</v>
      </c>
      <c r="K181" s="171"/>
      <c r="L181" s="80"/>
      <c r="N181" s="260" t="s">
        <v>176</v>
      </c>
      <c r="O181" s="90" t="s">
        <v>25</v>
      </c>
      <c r="P181" s="92" t="s">
        <v>26</v>
      </c>
      <c r="Q181" s="171"/>
      <c r="R181" s="80"/>
      <c r="T181" s="260" t="s">
        <v>176</v>
      </c>
      <c r="U181" s="90" t="s">
        <v>25</v>
      </c>
      <c r="V181" s="92" t="s">
        <v>26</v>
      </c>
      <c r="W181" s="171"/>
      <c r="X181" s="80"/>
      <c r="Z181" s="260" t="s">
        <v>176</v>
      </c>
      <c r="AA181" s="90" t="s">
        <v>25</v>
      </c>
      <c r="AB181" s="92" t="s">
        <v>26</v>
      </c>
      <c r="AC181" s="171"/>
      <c r="AD181" s="80"/>
      <c r="AF181" s="260" t="s">
        <v>176</v>
      </c>
      <c r="AG181" s="90" t="s">
        <v>25</v>
      </c>
      <c r="AH181" s="92" t="s">
        <v>26</v>
      </c>
      <c r="AI181" s="171"/>
      <c r="AJ181" s="80"/>
    </row>
    <row r="182" spans="8:36" ht="18" thickTop="1" thickBot="1" x14ac:dyDescent="0.25">
      <c r="H182" s="237" t="s">
        <v>177</v>
      </c>
      <c r="I182" s="69" t="s">
        <v>54</v>
      </c>
      <c r="J182" s="77"/>
      <c r="K182" s="236" cm="1">
        <f t="array" ref="K182">IF(I175="Nee",0,IF(ISBLANK(J182),INDEX(ProcesCost2[[#All],[Geen]:[Waarde MIN]],_xlfn.XMATCH('SCENARIO 4 - Vrij invulbaar'!H182,ProcesCost2[[#All],[Verwerking - Kosten]]),_xlfn.XMATCH('SCENARIO 4 - Vrij invulbaar'!I182,ProcesCost2[[#Headers],[Geen]:[Waarde MIN]])),J182))</f>
        <v>7.5</v>
      </c>
      <c r="L182" s="185" t="s">
        <v>178</v>
      </c>
      <c r="N182" s="237" t="s">
        <v>537</v>
      </c>
      <c r="O182" s="69" t="s">
        <v>54</v>
      </c>
      <c r="P182" s="77"/>
      <c r="Q182" s="236" cm="1">
        <f t="array" ref="Q182">IF(O175="Nee",0,IF(ISBLANK(P182),INDEX(ProcesCost2[[#All],[Geen]:[Waarde MIN]],_xlfn.XMATCH('SCENARIO 4 - Vrij invulbaar'!N182,ProcesCost2[[#All],[Verwerking - Kosten]]),_xlfn.XMATCH('SCENARIO 4 - Vrij invulbaar'!O182,ProcesCost2[[#Headers],[Geen]:[Waarde MIN]])),P182))</f>
        <v>20</v>
      </c>
      <c r="R182" s="185" t="s">
        <v>178</v>
      </c>
      <c r="T182" s="237" t="s">
        <v>821</v>
      </c>
      <c r="U182" s="69" t="s">
        <v>54</v>
      </c>
      <c r="V182" s="77"/>
      <c r="W182" s="236" cm="1">
        <f t="array" ref="W182">IF(U175="Nee",0,IF(ISBLANK(V182),INDEX(ProcesCost2[[#All],[Geen]:[Waarde MIN]],_xlfn.XMATCH('SCENARIO 4 - Vrij invulbaar'!T182,ProcesCost2[[#All],[Verwerking - Kosten]]),_xlfn.XMATCH('SCENARIO 4 - Vrij invulbaar'!U182,ProcesCost2[[#Headers],[Geen]:[Waarde MIN]])),V182))</f>
        <v>7.5</v>
      </c>
      <c r="X182" s="185" t="s">
        <v>178</v>
      </c>
      <c r="Z182" s="237" t="s">
        <v>177</v>
      </c>
      <c r="AA182" s="69" t="s">
        <v>54</v>
      </c>
      <c r="AB182" s="77"/>
      <c r="AC182" s="236" cm="1">
        <f t="array" ref="AC182">IF(AA175="Nee",0,IF(ISBLANK(AB182),INDEX(ProcesCost2[[#All],[Geen]:[Waarde MIN]],_xlfn.XMATCH('SCENARIO 4 - Vrij invulbaar'!Z182,ProcesCost2[[#All],[Verwerking - Kosten]]),_xlfn.XMATCH('SCENARIO 4 - Vrij invulbaar'!AA182,ProcesCost2[[#Headers],[Geen]:[Waarde MIN]])),AB182))</f>
        <v>7.5</v>
      </c>
      <c r="AD182" s="185" t="s">
        <v>178</v>
      </c>
      <c r="AF182" s="237" t="s">
        <v>177</v>
      </c>
      <c r="AG182" s="69" t="s">
        <v>54</v>
      </c>
      <c r="AH182" s="77"/>
      <c r="AI182" s="236" cm="1">
        <f t="array" ref="AI182">IF(AG175="Nee",0,IF(ISBLANK(AH182),INDEX(ProcesCost2[[#All],[Geen]:[Waarde MIN]],_xlfn.XMATCH('SCENARIO 4 - Vrij invulbaar'!AF182,ProcesCost2[[#All],[Verwerking - Kosten]]),_xlfn.XMATCH('SCENARIO 4 - Vrij invulbaar'!AG182,ProcesCost2[[#Headers],[Geen]:[Waarde MIN]])),AH182))</f>
        <v>7.5</v>
      </c>
      <c r="AJ182" s="185" t="s">
        <v>178</v>
      </c>
    </row>
    <row r="183" spans="8:36" ht="18" thickTop="1" thickBot="1" x14ac:dyDescent="0.25">
      <c r="H183" s="206" t="s">
        <v>179</v>
      </c>
      <c r="I183" s="69" t="s">
        <v>54</v>
      </c>
      <c r="J183" s="76"/>
      <c r="K183" s="241" cm="1">
        <f t="array" ref="K183">INDEX(ProcesCost21[[#All],[Geen]:[Waarde MIN]],_xlfn.XMATCH('SCENARIO 4 - Vrij invulbaar'!H182,ProcesCost21[[#All],[Verwerking - Producteffciency]]),_xlfn.XMATCH('SCENARIO 4 - Vrij invulbaar'!I183,ProcesCost21[[#Headers],[Geen]:[Waarde MIN]]))</f>
        <v>0.95</v>
      </c>
      <c r="L183" s="185" t="s">
        <v>58</v>
      </c>
      <c r="N183" s="206" t="s">
        <v>179</v>
      </c>
      <c r="O183" s="69" t="s">
        <v>54</v>
      </c>
      <c r="P183" s="76"/>
      <c r="Q183" s="241" cm="1">
        <f t="array" ref="Q183">INDEX(ProcesCost21[[#All],[Geen]:[Waarde MIN]],_xlfn.XMATCH('SCENARIO 4 - Vrij invulbaar'!N182,ProcesCost21[[#All],[Verwerking - Producteffciency]]),_xlfn.XMATCH('SCENARIO 4 - Vrij invulbaar'!O183,ProcesCost21[[#Headers],[Geen]:[Waarde MIN]]))</f>
        <v>0.95</v>
      </c>
      <c r="R183" s="185" t="s">
        <v>58</v>
      </c>
      <c r="T183" s="206" t="s">
        <v>179</v>
      </c>
      <c r="U183" s="69" t="s">
        <v>54</v>
      </c>
      <c r="V183" s="76"/>
      <c r="W183" s="241" cm="1">
        <f t="array" ref="W183">INDEX(ProcesCost21[[#All],[Geen]:[Waarde MIN]],_xlfn.XMATCH('SCENARIO 4 - Vrij invulbaar'!T182,ProcesCost21[[#All],[Verwerking - Producteffciency]]),_xlfn.XMATCH('SCENARIO 4 - Vrij invulbaar'!U183,ProcesCost21[[#Headers],[Geen]:[Waarde MIN]]))</f>
        <v>0.95</v>
      </c>
      <c r="X183" s="185" t="s">
        <v>58</v>
      </c>
      <c r="Z183" s="206" t="s">
        <v>179</v>
      </c>
      <c r="AA183" s="69" t="s">
        <v>54</v>
      </c>
      <c r="AB183" s="76"/>
      <c r="AC183" s="241" cm="1">
        <f t="array" ref="AC183">INDEX(ProcesCost21[[#All],[Geen]:[Waarde MIN]],_xlfn.XMATCH('SCENARIO 4 - Vrij invulbaar'!Z182,ProcesCost21[[#All],[Verwerking - Producteffciency]]),_xlfn.XMATCH('SCENARIO 4 - Vrij invulbaar'!AA183,ProcesCost21[[#Headers],[Geen]:[Waarde MIN]]))</f>
        <v>0.95</v>
      </c>
      <c r="AD183" s="185" t="s">
        <v>58</v>
      </c>
      <c r="AF183" s="206" t="s">
        <v>179</v>
      </c>
      <c r="AG183" s="69" t="s">
        <v>54</v>
      </c>
      <c r="AH183" s="76"/>
      <c r="AI183" s="241" cm="1">
        <f t="array" ref="AI183">INDEX(ProcesCost21[[#All],[Geen]:[Waarde MIN]],_xlfn.XMATCH('SCENARIO 4 - Vrij invulbaar'!AF182,ProcesCost21[[#All],[Verwerking - Producteffciency]]),_xlfn.XMATCH('SCENARIO 4 - Vrij invulbaar'!AG183,ProcesCost21[[#Headers],[Geen]:[Waarde MIN]]))</f>
        <v>0.95</v>
      </c>
      <c r="AJ183" s="185" t="s">
        <v>58</v>
      </c>
    </row>
    <row r="184" spans="8:36" ht="17" thickTop="1" x14ac:dyDescent="0.2">
      <c r="H184" s="207" t="s">
        <v>180</v>
      </c>
      <c r="I184" s="171"/>
      <c r="J184" s="264"/>
      <c r="K184" s="174">
        <f>IFERROR(IF(ISBLANK(J184),K176*K182,J184),0)</f>
        <v>1208.3333333333333</v>
      </c>
      <c r="L184" s="80" t="s">
        <v>102</v>
      </c>
      <c r="N184" s="207" t="s">
        <v>180</v>
      </c>
      <c r="O184" s="171"/>
      <c r="P184" s="264"/>
      <c r="Q184" s="174">
        <f>IFERROR(IF(ISBLANK(P184),Q176*Q182,P184),0)</f>
        <v>510.20408163265307</v>
      </c>
      <c r="R184" s="80" t="s">
        <v>102</v>
      </c>
      <c r="T184" s="207" t="s">
        <v>180</v>
      </c>
      <c r="U184" s="171"/>
      <c r="V184" s="264"/>
      <c r="W184" s="174">
        <f>IFERROR(IF(ISBLANK(V184),W176*W182,V184),0)</f>
        <v>1208.3333333333333</v>
      </c>
      <c r="X184" s="80" t="s">
        <v>102</v>
      </c>
      <c r="Z184" s="207" t="s">
        <v>180</v>
      </c>
      <c r="AA184" s="171"/>
      <c r="AB184" s="264"/>
      <c r="AC184" s="174">
        <f>IFERROR(IF(ISBLANK(AB184),AC176*AC182,AB184),0)</f>
        <v>1009.0206185567012</v>
      </c>
      <c r="AD184" s="80" t="s">
        <v>102</v>
      </c>
      <c r="AF184" s="207" t="s">
        <v>180</v>
      </c>
      <c r="AG184" s="171"/>
      <c r="AH184" s="264"/>
      <c r="AI184" s="174">
        <f>IFERROR(IF(ISBLANK(AH184),AI176*AI182,AH184),0)</f>
        <v>1166.6666666666665</v>
      </c>
      <c r="AJ184" s="80" t="s">
        <v>102</v>
      </c>
    </row>
    <row r="185" spans="8:36" x14ac:dyDescent="0.2">
      <c r="H185" s="207" t="s">
        <v>181</v>
      </c>
      <c r="I185" s="171"/>
      <c r="J185" s="171"/>
      <c r="K185" s="259">
        <f>IF(I175="Nee",0,K176*K183)</f>
        <v>153.05555555555554</v>
      </c>
      <c r="L185" s="80" t="s">
        <v>86</v>
      </c>
      <c r="N185" s="207" t="s">
        <v>181</v>
      </c>
      <c r="O185" s="171"/>
      <c r="P185" s="171"/>
      <c r="Q185" s="259">
        <f>IF(O175="Nee",0,Q176*Q183)</f>
        <v>24.23469387755102</v>
      </c>
      <c r="R185" s="80" t="s">
        <v>86</v>
      </c>
      <c r="T185" s="207" t="s">
        <v>181</v>
      </c>
      <c r="U185" s="171"/>
      <c r="V185" s="171"/>
      <c r="W185" s="259">
        <f>IF(U175="Nee",0,W176*W183)</f>
        <v>153.05555555555554</v>
      </c>
      <c r="X185" s="80" t="s">
        <v>86</v>
      </c>
      <c r="Z185" s="207" t="s">
        <v>181</v>
      </c>
      <c r="AA185" s="171"/>
      <c r="AB185" s="171"/>
      <c r="AC185" s="259">
        <f>IF(AA175="Nee",0,AC176*AC183)</f>
        <v>127.80927835051547</v>
      </c>
      <c r="AD185" s="80" t="s">
        <v>86</v>
      </c>
      <c r="AF185" s="207" t="s">
        <v>181</v>
      </c>
      <c r="AG185" s="171"/>
      <c r="AH185" s="171"/>
      <c r="AI185" s="259">
        <f>IF(AG175="Nee",0,AI176*AI183)</f>
        <v>147.77777777777777</v>
      </c>
      <c r="AJ185" s="80" t="s">
        <v>86</v>
      </c>
    </row>
    <row r="186" spans="8:36" x14ac:dyDescent="0.2">
      <c r="H186" s="207" t="s">
        <v>120</v>
      </c>
      <c r="I186" s="171"/>
      <c r="J186" s="171"/>
      <c r="K186" s="259">
        <f>IF(I175="Nee",0,K176-K185)</f>
        <v>8.0555555555555713</v>
      </c>
      <c r="L186" s="80" t="s">
        <v>86</v>
      </c>
      <c r="N186" s="207" t="s">
        <v>120</v>
      </c>
      <c r="O186" s="171"/>
      <c r="P186" s="171"/>
      <c r="Q186" s="259">
        <f>IF(O175="Nee",0,Q176-Q185)</f>
        <v>1.275510204081634</v>
      </c>
      <c r="R186" s="80" t="s">
        <v>86</v>
      </c>
      <c r="T186" s="207" t="s">
        <v>120</v>
      </c>
      <c r="U186" s="171"/>
      <c r="V186" s="171"/>
      <c r="W186" s="259">
        <f>IF(U175="Nee",0,W176-W185)</f>
        <v>8.0555555555555713</v>
      </c>
      <c r="X186" s="80" t="s">
        <v>86</v>
      </c>
      <c r="Z186" s="207" t="s">
        <v>120</v>
      </c>
      <c r="AA186" s="171"/>
      <c r="AB186" s="171"/>
      <c r="AC186" s="259">
        <f>IF(AA175="Nee",0,AC176-AC185)</f>
        <v>6.7268041237113465</v>
      </c>
      <c r="AD186" s="80" t="s">
        <v>86</v>
      </c>
      <c r="AF186" s="207" t="s">
        <v>120</v>
      </c>
      <c r="AG186" s="171"/>
      <c r="AH186" s="171"/>
      <c r="AI186" s="259">
        <f>IF(AG175="Nee",0,AI176-AI185)</f>
        <v>7.7777777777777715</v>
      </c>
      <c r="AJ186" s="80" t="s">
        <v>86</v>
      </c>
    </row>
    <row r="187" spans="8:36" ht="17" thickBot="1" x14ac:dyDescent="0.25">
      <c r="H187" s="79"/>
      <c r="I187" s="171"/>
      <c r="J187" s="171"/>
      <c r="K187" s="171"/>
      <c r="L187" s="80"/>
      <c r="N187" s="79"/>
      <c r="O187" s="171"/>
      <c r="P187" s="171"/>
      <c r="Q187" s="171"/>
      <c r="R187" s="80"/>
      <c r="T187" s="79"/>
      <c r="U187" s="171"/>
      <c r="V187" s="171"/>
      <c r="W187" s="171"/>
      <c r="X187" s="80"/>
      <c r="Z187" s="79"/>
      <c r="AA187" s="171"/>
      <c r="AB187" s="171"/>
      <c r="AC187" s="171"/>
      <c r="AD187" s="80"/>
      <c r="AF187" s="79"/>
      <c r="AG187" s="171"/>
      <c r="AH187" s="171"/>
      <c r="AI187" s="171"/>
      <c r="AJ187" s="80"/>
    </row>
    <row r="188" spans="8:36" ht="18" thickTop="1" thickBot="1" x14ac:dyDescent="0.25">
      <c r="H188" s="205" t="s">
        <v>182</v>
      </c>
      <c r="I188" s="69" t="s">
        <v>76</v>
      </c>
      <c r="J188" s="171"/>
      <c r="K188" s="171"/>
      <c r="L188" s="80"/>
      <c r="N188" s="205" t="s">
        <v>182</v>
      </c>
      <c r="O188" s="69" t="s">
        <v>76</v>
      </c>
      <c r="P188" s="171"/>
      <c r="Q188" s="171"/>
      <c r="R188" s="80"/>
      <c r="T188" s="205" t="s">
        <v>182</v>
      </c>
      <c r="U188" s="69" t="s">
        <v>76</v>
      </c>
      <c r="V188" s="171"/>
      <c r="W188" s="171"/>
      <c r="X188" s="80"/>
      <c r="Z188" s="205" t="s">
        <v>182</v>
      </c>
      <c r="AA188" s="69" t="s">
        <v>167</v>
      </c>
      <c r="AB188" s="171"/>
      <c r="AC188" s="171"/>
      <c r="AD188" s="80"/>
      <c r="AF188" s="205" t="s">
        <v>182</v>
      </c>
      <c r="AG188" s="69" t="s">
        <v>167</v>
      </c>
      <c r="AH188" s="171"/>
      <c r="AI188" s="171"/>
      <c r="AJ188" s="80"/>
    </row>
    <row r="189" spans="8:36" ht="17" thickTop="1" x14ac:dyDescent="0.2">
      <c r="H189" s="201" t="s">
        <v>173</v>
      </c>
      <c r="I189" s="171"/>
      <c r="J189" s="171"/>
      <c r="K189" s="219">
        <f>K185</f>
        <v>153.05555555555554</v>
      </c>
      <c r="L189" s="80" t="s">
        <v>86</v>
      </c>
      <c r="N189" s="201" t="s">
        <v>173</v>
      </c>
      <c r="O189" s="171"/>
      <c r="P189" s="171"/>
      <c r="Q189" s="219">
        <f>Q185</f>
        <v>24.23469387755102</v>
      </c>
      <c r="R189" s="80" t="s">
        <v>86</v>
      </c>
      <c r="T189" s="201" t="s">
        <v>173</v>
      </c>
      <c r="U189" s="171"/>
      <c r="V189" s="171"/>
      <c r="W189" s="219">
        <f>W185</f>
        <v>153.05555555555554</v>
      </c>
      <c r="X189" s="80" t="s">
        <v>86</v>
      </c>
      <c r="Z189" s="201" t="s">
        <v>173</v>
      </c>
      <c r="AA189" s="171"/>
      <c r="AB189" s="171"/>
      <c r="AC189" s="219">
        <f>AC185</f>
        <v>127.80927835051547</v>
      </c>
      <c r="AD189" s="80" t="s">
        <v>86</v>
      </c>
      <c r="AF189" s="201" t="s">
        <v>173</v>
      </c>
      <c r="AG189" s="171"/>
      <c r="AH189" s="171"/>
      <c r="AI189" s="219">
        <f>AI185</f>
        <v>147.77777777777777</v>
      </c>
      <c r="AJ189" s="80" t="s">
        <v>86</v>
      </c>
    </row>
    <row r="190" spans="8:36" x14ac:dyDescent="0.2">
      <c r="H190" s="260" t="s">
        <v>95</v>
      </c>
      <c r="I190" s="90" t="s">
        <v>25</v>
      </c>
      <c r="J190" s="92" t="s">
        <v>26</v>
      </c>
      <c r="K190" s="171"/>
      <c r="L190" s="80"/>
      <c r="N190" s="260" t="s">
        <v>95</v>
      </c>
      <c r="O190" s="90" t="s">
        <v>25</v>
      </c>
      <c r="P190" s="92" t="s">
        <v>26</v>
      </c>
      <c r="Q190" s="171"/>
      <c r="R190" s="80"/>
      <c r="T190" s="260" t="s">
        <v>95</v>
      </c>
      <c r="U190" s="90" t="s">
        <v>25</v>
      </c>
      <c r="V190" s="92" t="s">
        <v>26</v>
      </c>
      <c r="W190" s="171"/>
      <c r="X190" s="80"/>
      <c r="Z190" s="260" t="s">
        <v>95</v>
      </c>
      <c r="AA190" s="90" t="s">
        <v>25</v>
      </c>
      <c r="AB190" s="92" t="s">
        <v>26</v>
      </c>
      <c r="AC190" s="171"/>
      <c r="AD190" s="80"/>
      <c r="AF190" s="260" t="s">
        <v>95</v>
      </c>
      <c r="AG190" s="90" t="s">
        <v>25</v>
      </c>
      <c r="AH190" s="92" t="s">
        <v>26</v>
      </c>
      <c r="AI190" s="171"/>
      <c r="AJ190" s="80"/>
    </row>
    <row r="191" spans="8:36" ht="17" thickBot="1" x14ac:dyDescent="0.25">
      <c r="H191" s="187" t="s">
        <v>174</v>
      </c>
      <c r="I191" s="171"/>
      <c r="J191" s="62">
        <v>85</v>
      </c>
      <c r="K191" s="104">
        <f>J191</f>
        <v>85</v>
      </c>
      <c r="L191" s="185" t="s">
        <v>97</v>
      </c>
      <c r="N191" s="187" t="s">
        <v>174</v>
      </c>
      <c r="O191" s="171"/>
      <c r="P191" s="62">
        <v>85</v>
      </c>
      <c r="Q191" s="104">
        <f>P191</f>
        <v>85</v>
      </c>
      <c r="R191" s="185" t="s">
        <v>97</v>
      </c>
      <c r="T191" s="187" t="s">
        <v>174</v>
      </c>
      <c r="U191" s="171"/>
      <c r="V191" s="62">
        <v>85</v>
      </c>
      <c r="W191" s="104">
        <f>V191</f>
        <v>85</v>
      </c>
      <c r="X191" s="185" t="s">
        <v>97</v>
      </c>
      <c r="Z191" s="187" t="s">
        <v>174</v>
      </c>
      <c r="AA191" s="171"/>
      <c r="AB191" s="62">
        <v>0</v>
      </c>
      <c r="AC191" s="104">
        <f>AB191</f>
        <v>0</v>
      </c>
      <c r="AD191" s="185" t="s">
        <v>97</v>
      </c>
      <c r="AF191" s="187" t="s">
        <v>174</v>
      </c>
      <c r="AG191" s="171"/>
      <c r="AH191" s="62">
        <v>0</v>
      </c>
      <c r="AI191" s="104">
        <f>AH191</f>
        <v>0</v>
      </c>
      <c r="AJ191" s="185" t="s">
        <v>97</v>
      </c>
    </row>
    <row r="192" spans="8:36" ht="18" thickTop="1" thickBot="1" x14ac:dyDescent="0.25">
      <c r="H192" s="237" t="s">
        <v>99</v>
      </c>
      <c r="I192" s="69" t="s">
        <v>54</v>
      </c>
      <c r="J192" s="62"/>
      <c r="K192" s="236" cm="1">
        <f t="array" ref="K192">IF(ISBLANK(J192),INDEX(ProcesCost01[[#All],[Geen]:[Waarde MIN]],_xlfn.XMATCH('SCENARIO 4 - Vrij invulbaar'!H192,ProcesCost01[[#All],[Transportkosten]]),_xlfn.XMATCH('SCENARIO 4 - Vrij invulbaar'!I192,ProcesCost01[[#Headers],[Geen]:[Waarde MIN]])),J192)</f>
        <v>0.04</v>
      </c>
      <c r="L192" s="185" t="s">
        <v>100</v>
      </c>
      <c r="N192" s="237" t="s">
        <v>99</v>
      </c>
      <c r="O192" s="69" t="s">
        <v>54</v>
      </c>
      <c r="P192" s="62"/>
      <c r="Q192" s="236" cm="1">
        <f t="array" ref="Q192">IF(ISBLANK(P192),INDEX(ProcesCost01[[#All],[Geen]:[Waarde MIN]],_xlfn.XMATCH('SCENARIO 4 - Vrij invulbaar'!N192,ProcesCost01[[#All],[Transportkosten]]),_xlfn.XMATCH('SCENARIO 4 - Vrij invulbaar'!O192,ProcesCost01[[#Headers],[Geen]:[Waarde MIN]])),P192)</f>
        <v>0.04</v>
      </c>
      <c r="R192" s="185" t="s">
        <v>100</v>
      </c>
      <c r="T192" s="237" t="s">
        <v>99</v>
      </c>
      <c r="U192" s="69" t="s">
        <v>54</v>
      </c>
      <c r="V192" s="62"/>
      <c r="W192" s="236" cm="1">
        <f t="array" ref="W192">IF(ISBLANK(V192),INDEX(ProcesCost01[[#All],[Geen]:[Waarde MIN]],_xlfn.XMATCH('SCENARIO 4 - Vrij invulbaar'!T192,ProcesCost01[[#All],[Transportkosten]]),_xlfn.XMATCH('SCENARIO 4 - Vrij invulbaar'!U192,ProcesCost01[[#Headers],[Geen]:[Waarde MIN]])),V192)</f>
        <v>0.04</v>
      </c>
      <c r="X192" s="185" t="s">
        <v>100</v>
      </c>
      <c r="Z192" s="237" t="s">
        <v>99</v>
      </c>
      <c r="AA192" s="69" t="s">
        <v>54</v>
      </c>
      <c r="AB192" s="62"/>
      <c r="AC192" s="236" cm="1">
        <f t="array" ref="AC192">IF(ISBLANK(AB192),INDEX(ProcesCost01[[#All],[Geen]:[Waarde MIN]],_xlfn.XMATCH('SCENARIO 4 - Vrij invulbaar'!Z192,ProcesCost01[[#All],[Transportkosten]]),_xlfn.XMATCH('SCENARIO 4 - Vrij invulbaar'!AA192,ProcesCost01[[#Headers],[Geen]:[Waarde MIN]])),AB192)</f>
        <v>0.04</v>
      </c>
      <c r="AD192" s="185" t="s">
        <v>100</v>
      </c>
      <c r="AF192" s="237" t="s">
        <v>99</v>
      </c>
      <c r="AG192" s="69" t="s">
        <v>54</v>
      </c>
      <c r="AH192" s="62"/>
      <c r="AI192" s="236" cm="1">
        <f t="array" ref="AI192">IF(ISBLANK(AH192),INDEX(ProcesCost01[[#All],[Geen]:[Waarde MIN]],_xlfn.XMATCH('SCENARIO 4 - Vrij invulbaar'!AF192,ProcesCost01[[#All],[Transportkosten]]),_xlfn.XMATCH('SCENARIO 4 - Vrij invulbaar'!AG192,ProcesCost01[[#Headers],[Geen]:[Waarde MIN]])),AH192)</f>
        <v>0.04</v>
      </c>
      <c r="AJ192" s="185" t="s">
        <v>100</v>
      </c>
    </row>
    <row r="193" spans="8:36" ht="17" thickTop="1" x14ac:dyDescent="0.2">
      <c r="H193" s="207" t="s">
        <v>175</v>
      </c>
      <c r="I193" s="171"/>
      <c r="J193" s="62"/>
      <c r="K193" s="192">
        <f>IF(I188="Nee",0,IF(ISBLANK(J193),K191*K192*K189,J193))</f>
        <v>0</v>
      </c>
      <c r="L193" s="80" t="s">
        <v>102</v>
      </c>
      <c r="N193" s="207" t="s">
        <v>175</v>
      </c>
      <c r="O193" s="171"/>
      <c r="P193" s="62"/>
      <c r="Q193" s="192">
        <f>IF(O188="Nee",0,IF(ISBLANK(P193),Q191*Q192*Q189,P193))</f>
        <v>0</v>
      </c>
      <c r="R193" s="80" t="s">
        <v>102</v>
      </c>
      <c r="T193" s="207" t="s">
        <v>175</v>
      </c>
      <c r="U193" s="171"/>
      <c r="V193" s="62"/>
      <c r="W193" s="192">
        <f>IF(U188="Nee",0,IF(ISBLANK(V193),W191*W192*W189,V193))</f>
        <v>0</v>
      </c>
      <c r="X193" s="80" t="s">
        <v>102</v>
      </c>
      <c r="Z193" s="187" t="s">
        <v>175</v>
      </c>
      <c r="AA193" s="171"/>
      <c r="AB193" s="62"/>
      <c r="AC193" s="192">
        <f>IF(AA188="Nee",0,IF(ISBLANK(AB193),AC191*AC192*AC189,AB193))</f>
        <v>0</v>
      </c>
      <c r="AD193" s="80" t="s">
        <v>102</v>
      </c>
      <c r="AF193" s="207" t="s">
        <v>175</v>
      </c>
      <c r="AG193" s="171"/>
      <c r="AH193" s="62"/>
      <c r="AI193" s="192">
        <f>IF(AG188="Nee",0,IF(ISBLANK(AH193),AI191*AI192*AI189,AH193))</f>
        <v>0</v>
      </c>
      <c r="AJ193" s="80" t="s">
        <v>102</v>
      </c>
    </row>
    <row r="194" spans="8:36" ht="17" thickBot="1" x14ac:dyDescent="0.25">
      <c r="H194" s="260" t="s">
        <v>176</v>
      </c>
      <c r="I194" s="90" t="s">
        <v>25</v>
      </c>
      <c r="J194" s="92" t="s">
        <v>26</v>
      </c>
      <c r="K194" s="171"/>
      <c r="L194" s="80"/>
      <c r="N194" s="260" t="s">
        <v>176</v>
      </c>
      <c r="O194" s="90" t="s">
        <v>25</v>
      </c>
      <c r="P194" s="92" t="s">
        <v>26</v>
      </c>
      <c r="Q194" s="171"/>
      <c r="R194" s="80"/>
      <c r="T194" s="260" t="s">
        <v>176</v>
      </c>
      <c r="U194" s="90" t="s">
        <v>25</v>
      </c>
      <c r="V194" s="92" t="s">
        <v>26</v>
      </c>
      <c r="W194" s="171"/>
      <c r="X194" s="80"/>
      <c r="Z194" s="260" t="s">
        <v>176</v>
      </c>
      <c r="AA194" s="90" t="s">
        <v>25</v>
      </c>
      <c r="AB194" s="92" t="s">
        <v>26</v>
      </c>
      <c r="AC194" s="171"/>
      <c r="AD194" s="80"/>
      <c r="AF194" s="260" t="s">
        <v>176</v>
      </c>
      <c r="AG194" s="90" t="s">
        <v>25</v>
      </c>
      <c r="AH194" s="92" t="s">
        <v>26</v>
      </c>
      <c r="AI194" s="171"/>
      <c r="AJ194" s="80"/>
    </row>
    <row r="195" spans="8:36" ht="18" thickTop="1" thickBot="1" x14ac:dyDescent="0.25">
      <c r="H195" s="237" t="s">
        <v>184</v>
      </c>
      <c r="I195" s="69" t="s">
        <v>54</v>
      </c>
      <c r="J195" s="77"/>
      <c r="K195" s="236" cm="1">
        <f t="array" ref="K195">IF(I188="Nee",0,IF(ISBLANK(J195),INDEX(ProcesCost2[[#All],[Geen]:[Waarde MIN]],_xlfn.XMATCH('SCENARIO 4 - Vrij invulbaar'!H195,ProcesCost2[[#All],[Verwerking - Kosten]]),_xlfn.XMATCH('SCENARIO 4 - Vrij invulbaar'!I195,ProcesCost2[[#Headers],[Geen]:[Waarde MIN]])),J195))</f>
        <v>0</v>
      </c>
      <c r="L195" s="185" t="s">
        <v>178</v>
      </c>
      <c r="N195" s="237" t="s">
        <v>184</v>
      </c>
      <c r="O195" s="69" t="s">
        <v>54</v>
      </c>
      <c r="P195" s="77"/>
      <c r="Q195" s="236" cm="1">
        <f t="array" ref="Q195">IF(O188="Nee",0,IF(ISBLANK(P195),INDEX(ProcesCost2[[#All],[Geen]:[Waarde MIN]],_xlfn.XMATCH('SCENARIO 4 - Vrij invulbaar'!N195,ProcesCost2[[#All],[Verwerking - Kosten]]),_xlfn.XMATCH('SCENARIO 4 - Vrij invulbaar'!O195,ProcesCost2[[#Headers],[Geen]:[Waarde MIN]])),P195))</f>
        <v>0</v>
      </c>
      <c r="R195" s="185" t="s">
        <v>178</v>
      </c>
      <c r="T195" s="237" t="s">
        <v>537</v>
      </c>
      <c r="U195" s="69" t="s">
        <v>54</v>
      </c>
      <c r="V195" s="77"/>
      <c r="W195" s="236" cm="1">
        <f t="array" ref="W195">IF(U188="Nee",0,IF(ISBLANK(V195),INDEX(ProcesCost2[[#All],[Geen]:[Waarde MIN]],_xlfn.XMATCH('SCENARIO 4 - Vrij invulbaar'!T195,ProcesCost2[[#All],[Verwerking - Kosten]]),_xlfn.XMATCH('SCENARIO 4 - Vrij invulbaar'!U195,ProcesCost2[[#Headers],[Geen]:[Waarde MIN]])),V195))</f>
        <v>0</v>
      </c>
      <c r="X195" s="185" t="s">
        <v>178</v>
      </c>
      <c r="Z195" s="237" t="s">
        <v>184</v>
      </c>
      <c r="AA195" s="69" t="s">
        <v>54</v>
      </c>
      <c r="AB195" s="77"/>
      <c r="AC195" s="236" cm="1">
        <f t="array" ref="AC195">IF(AA188="Nee",0,IF(ISBLANK(AB195),INDEX(ProcesCost2[[#All],[Geen]:[Waarde MIN]],_xlfn.XMATCH('SCENARIO 4 - Vrij invulbaar'!Z195,ProcesCost2[[#All],[Verwerking - Kosten]]),_xlfn.XMATCH('SCENARIO 4 - Vrij invulbaar'!AA195,ProcesCost2[[#Headers],[Geen]:[Waarde MIN]])),AB195))</f>
        <v>7.5</v>
      </c>
      <c r="AD195" s="185" t="s">
        <v>178</v>
      </c>
      <c r="AF195" s="237" t="s">
        <v>184</v>
      </c>
      <c r="AG195" s="69" t="s">
        <v>54</v>
      </c>
      <c r="AH195" s="77"/>
      <c r="AI195" s="236" cm="1">
        <f t="array" ref="AI195">IF(AG188="Nee",0,IF(ISBLANK(AH195),INDEX(ProcesCost2[[#All],[Geen]:[Waarde MIN]],_xlfn.XMATCH('SCENARIO 4 - Vrij invulbaar'!AF195,ProcesCost2[[#All],[Verwerking - Kosten]]),_xlfn.XMATCH('SCENARIO 4 - Vrij invulbaar'!AG195,ProcesCost2[[#Headers],[Geen]:[Waarde MIN]])),AH195))</f>
        <v>7.5</v>
      </c>
      <c r="AJ195" s="185" t="s">
        <v>178</v>
      </c>
    </row>
    <row r="196" spans="8:36" ht="18" thickTop="1" thickBot="1" x14ac:dyDescent="0.25">
      <c r="H196" s="206" t="s">
        <v>179</v>
      </c>
      <c r="I196" s="69" t="s">
        <v>54</v>
      </c>
      <c r="J196" s="76"/>
      <c r="K196" s="241" cm="1">
        <f t="array" ref="K196">INDEX(ProcesCost21[[#All],[Geen]:[Waarde MIN]],_xlfn.XMATCH('SCENARIO 4 - Vrij invulbaar'!H195,ProcesCost21[[#All],[Verwerking - Producteffciency]]),_xlfn.XMATCH('SCENARIO 4 - Vrij invulbaar'!I196,ProcesCost21[[#Headers],[Geen]:[Waarde MIN]]))</f>
        <v>0.95</v>
      </c>
      <c r="L196" s="185" t="s">
        <v>58</v>
      </c>
      <c r="N196" s="206" t="s">
        <v>179</v>
      </c>
      <c r="O196" s="69" t="s">
        <v>54</v>
      </c>
      <c r="P196" s="76"/>
      <c r="Q196" s="241" cm="1">
        <f t="array" ref="Q196">INDEX(ProcesCost21[[#All],[Geen]:[Waarde MIN]],_xlfn.XMATCH('SCENARIO 4 - Vrij invulbaar'!N195,ProcesCost21[[#All],[Verwerking - Producteffciency]]),_xlfn.XMATCH('SCENARIO 4 - Vrij invulbaar'!O196,ProcesCost21[[#Headers],[Geen]:[Waarde MIN]]))</f>
        <v>0.95</v>
      </c>
      <c r="R196" s="185" t="s">
        <v>58</v>
      </c>
      <c r="T196" s="206" t="s">
        <v>179</v>
      </c>
      <c r="U196" s="69" t="s">
        <v>54</v>
      </c>
      <c r="V196" s="76"/>
      <c r="W196" s="241" cm="1">
        <f t="array" ref="W196">INDEX(ProcesCost21[[#All],[Geen]:[Waarde MIN]],_xlfn.XMATCH('SCENARIO 4 - Vrij invulbaar'!T195,ProcesCost21[[#All],[Verwerking - Producteffciency]]),_xlfn.XMATCH('SCENARIO 4 - Vrij invulbaar'!U196,ProcesCost21[[#Headers],[Geen]:[Waarde MIN]]))</f>
        <v>0.95</v>
      </c>
      <c r="X196" s="185" t="s">
        <v>58</v>
      </c>
      <c r="Z196" s="206" t="s">
        <v>179</v>
      </c>
      <c r="AA196" s="69" t="s">
        <v>54</v>
      </c>
      <c r="AB196" s="76"/>
      <c r="AC196" s="241" cm="1">
        <f t="array" ref="AC196">INDEX(ProcesCost21[[#All],[Geen]:[Waarde MIN]],_xlfn.XMATCH('SCENARIO 4 - Vrij invulbaar'!Z195,ProcesCost21[[#All],[Verwerking - Producteffciency]]),_xlfn.XMATCH('SCENARIO 4 - Vrij invulbaar'!AA196,ProcesCost21[[#Headers],[Geen]:[Waarde MIN]]))</f>
        <v>0.95</v>
      </c>
      <c r="AD196" s="185" t="s">
        <v>58</v>
      </c>
      <c r="AF196" s="206" t="s">
        <v>179</v>
      </c>
      <c r="AG196" s="69" t="s">
        <v>54</v>
      </c>
      <c r="AH196" s="76"/>
      <c r="AI196" s="241" cm="1">
        <f t="array" ref="AI196">INDEX(ProcesCost21[[#All],[Geen]:[Waarde MIN]],_xlfn.XMATCH('SCENARIO 4 - Vrij invulbaar'!AF195,ProcesCost21[[#All],[Verwerking - Producteffciency]]),_xlfn.XMATCH('SCENARIO 4 - Vrij invulbaar'!AG196,ProcesCost21[[#Headers],[Geen]:[Waarde MIN]]))</f>
        <v>0.95</v>
      </c>
      <c r="AJ196" s="185" t="s">
        <v>58</v>
      </c>
    </row>
    <row r="197" spans="8:36" ht="17" thickTop="1" x14ac:dyDescent="0.2">
      <c r="H197" s="207" t="s">
        <v>180</v>
      </c>
      <c r="I197" s="171"/>
      <c r="J197" s="264"/>
      <c r="K197" s="174">
        <f>IFERROR(IF(ISBLANK(J197),K189*K195,J197),0)</f>
        <v>0</v>
      </c>
      <c r="L197" s="80" t="s">
        <v>102</v>
      </c>
      <c r="N197" s="207" t="s">
        <v>180</v>
      </c>
      <c r="O197" s="171"/>
      <c r="P197" s="264"/>
      <c r="Q197" s="174">
        <f>IFERROR(IF(ISBLANK(P197),Q189*Q195,P197),0)</f>
        <v>0</v>
      </c>
      <c r="R197" s="80" t="s">
        <v>102</v>
      </c>
      <c r="T197" s="207" t="s">
        <v>180</v>
      </c>
      <c r="U197" s="171"/>
      <c r="V197" s="264"/>
      <c r="W197" s="174">
        <f>IFERROR(IF(ISBLANK(V197),W189*W195,V197),0)</f>
        <v>0</v>
      </c>
      <c r="X197" s="80" t="s">
        <v>102</v>
      </c>
      <c r="Z197" s="207" t="s">
        <v>180</v>
      </c>
      <c r="AA197" s="171"/>
      <c r="AB197" s="264"/>
      <c r="AC197" s="174">
        <f>IFERROR(IF(ISBLANK(AB197),AC189*AC195,AB197),0)</f>
        <v>958.56958762886597</v>
      </c>
      <c r="AD197" s="80" t="s">
        <v>102</v>
      </c>
      <c r="AF197" s="207" t="s">
        <v>180</v>
      </c>
      <c r="AG197" s="171"/>
      <c r="AH197" s="264"/>
      <c r="AI197" s="174">
        <f>IFERROR(IF(ISBLANK(AH197),AI189*AI195,AH197),0)</f>
        <v>1108.3333333333333</v>
      </c>
      <c r="AJ197" s="80" t="s">
        <v>102</v>
      </c>
    </row>
    <row r="198" spans="8:36" x14ac:dyDescent="0.2">
      <c r="H198" s="207" t="s">
        <v>181</v>
      </c>
      <c r="I198" s="171"/>
      <c r="J198" s="171"/>
      <c r="K198" s="259">
        <f>IF(I188="Nee",0,K189*K196)</f>
        <v>0</v>
      </c>
      <c r="L198" s="80" t="s">
        <v>86</v>
      </c>
      <c r="N198" s="207" t="s">
        <v>181</v>
      </c>
      <c r="O198" s="171"/>
      <c r="P198" s="171"/>
      <c r="Q198" s="259">
        <f>IF(O188="Nee",0,Q189*Q196)</f>
        <v>0</v>
      </c>
      <c r="R198" s="80" t="s">
        <v>86</v>
      </c>
      <c r="T198" s="207" t="s">
        <v>181</v>
      </c>
      <c r="U198" s="171"/>
      <c r="V198" s="171"/>
      <c r="W198" s="259">
        <f>IF(U188="Nee",0,W189*W196)</f>
        <v>0</v>
      </c>
      <c r="X198" s="80" t="s">
        <v>86</v>
      </c>
      <c r="Z198" s="207" t="s">
        <v>181</v>
      </c>
      <c r="AA198" s="171"/>
      <c r="AB198" s="171"/>
      <c r="AC198" s="259">
        <f>IF(AA188="Nee",0,AC189*AC196)</f>
        <v>121.41881443298969</v>
      </c>
      <c r="AD198" s="80" t="s">
        <v>86</v>
      </c>
      <c r="AF198" s="207" t="s">
        <v>181</v>
      </c>
      <c r="AG198" s="171"/>
      <c r="AH198" s="171"/>
      <c r="AI198" s="259">
        <f>IF(AG188="Nee",0,AI189*AI196)</f>
        <v>140.38888888888889</v>
      </c>
      <c r="AJ198" s="80" t="s">
        <v>86</v>
      </c>
    </row>
    <row r="199" spans="8:36" x14ac:dyDescent="0.2">
      <c r="H199" s="207" t="s">
        <v>120</v>
      </c>
      <c r="I199" s="171"/>
      <c r="J199" s="171"/>
      <c r="K199" s="259">
        <f>IF(I188="Nee",0,K189-K198)</f>
        <v>0</v>
      </c>
      <c r="L199" s="80" t="s">
        <v>86</v>
      </c>
      <c r="N199" s="207" t="s">
        <v>120</v>
      </c>
      <c r="O199" s="171"/>
      <c r="P199" s="171"/>
      <c r="Q199" s="259">
        <f>IF(O188="Nee",0,Q189-Q198)</f>
        <v>0</v>
      </c>
      <c r="R199" s="80" t="s">
        <v>86</v>
      </c>
      <c r="T199" s="207" t="s">
        <v>120</v>
      </c>
      <c r="U199" s="171"/>
      <c r="V199" s="171"/>
      <c r="W199" s="259">
        <f>IF(U188="Nee",0,W189-W198)</f>
        <v>0</v>
      </c>
      <c r="X199" s="80" t="s">
        <v>86</v>
      </c>
      <c r="Z199" s="207" t="s">
        <v>120</v>
      </c>
      <c r="AA199" s="171"/>
      <c r="AB199" s="171"/>
      <c r="AC199" s="259">
        <f>IF(AA188="Nee",0,AC189-AC198)</f>
        <v>6.3904639175257785</v>
      </c>
      <c r="AD199" s="80" t="s">
        <v>86</v>
      </c>
      <c r="AF199" s="207" t="s">
        <v>120</v>
      </c>
      <c r="AG199" s="171"/>
      <c r="AH199" s="171"/>
      <c r="AI199" s="259">
        <f>IF(AG188="Nee",0,AI189-AI198)</f>
        <v>7.3888888888888857</v>
      </c>
      <c r="AJ199" s="80" t="s">
        <v>86</v>
      </c>
    </row>
    <row r="200" spans="8:36" x14ac:dyDescent="0.2">
      <c r="H200" s="79"/>
      <c r="I200" s="171"/>
      <c r="J200" s="171"/>
      <c r="K200" s="171"/>
      <c r="L200" s="80"/>
      <c r="N200" s="79"/>
      <c r="O200" s="171"/>
      <c r="P200" s="171"/>
      <c r="Q200" s="171"/>
      <c r="R200" s="80"/>
      <c r="T200" s="79"/>
      <c r="U200" s="171"/>
      <c r="V200" s="171"/>
      <c r="W200" s="171"/>
      <c r="X200" s="80"/>
      <c r="Z200" s="79"/>
      <c r="AA200" s="171"/>
      <c r="AB200" s="171"/>
      <c r="AC200" s="171"/>
      <c r="AD200" s="80"/>
      <c r="AF200" s="79"/>
      <c r="AG200" s="171"/>
      <c r="AH200" s="171"/>
      <c r="AI200" s="171"/>
      <c r="AJ200" s="80"/>
    </row>
    <row r="201" spans="8:36" x14ac:dyDescent="0.2">
      <c r="H201" s="109" t="s">
        <v>185</v>
      </c>
      <c r="I201" s="171"/>
      <c r="J201" s="171"/>
      <c r="K201" s="171"/>
      <c r="L201" s="80"/>
      <c r="N201" s="109" t="s">
        <v>185</v>
      </c>
      <c r="O201" s="171"/>
      <c r="P201" s="171"/>
      <c r="Q201" s="171"/>
      <c r="R201" s="80"/>
      <c r="T201" s="109" t="s">
        <v>185</v>
      </c>
      <c r="U201" s="171"/>
      <c r="V201" s="171"/>
      <c r="W201" s="171"/>
      <c r="X201" s="80"/>
      <c r="Z201" s="109" t="s">
        <v>185</v>
      </c>
      <c r="AA201" s="171"/>
      <c r="AB201" s="171"/>
      <c r="AC201" s="171"/>
      <c r="AD201" s="80"/>
      <c r="AF201" s="109" t="s">
        <v>185</v>
      </c>
      <c r="AG201" s="171"/>
      <c r="AH201" s="171"/>
      <c r="AI201" s="171"/>
      <c r="AJ201" s="80"/>
    </row>
    <row r="202" spans="8:36" x14ac:dyDescent="0.2">
      <c r="H202" s="207" t="s">
        <v>186</v>
      </c>
      <c r="I202" s="265"/>
      <c r="J202" s="266"/>
      <c r="K202" s="219">
        <f>IF(I188="Ja",K198,IF(I175="Ja",K185,IF(I158="Ja",K172,K156)))</f>
        <v>153.05555555555554</v>
      </c>
      <c r="L202" s="80" t="s">
        <v>86</v>
      </c>
      <c r="N202" s="207" t="s">
        <v>186</v>
      </c>
      <c r="O202" s="267"/>
      <c r="P202" s="267"/>
      <c r="Q202" s="219">
        <f>IF(O188="Ja",Q198,IF(O175="Ja",Q185,IF(O158="Ja",Q172,Q156)))</f>
        <v>24.23469387755102</v>
      </c>
      <c r="R202" s="80" t="s">
        <v>86</v>
      </c>
      <c r="T202" s="207" t="s">
        <v>186</v>
      </c>
      <c r="U202" s="267"/>
      <c r="V202" s="267"/>
      <c r="W202" s="219">
        <f>IF(U188="Ja",W198,IF(U175="Ja",W185,IF(U158="Ja",W172,W156)))</f>
        <v>153.05555555555554</v>
      </c>
      <c r="X202" s="80" t="s">
        <v>86</v>
      </c>
      <c r="Z202" s="207" t="s">
        <v>186</v>
      </c>
      <c r="AA202" s="267"/>
      <c r="AB202" s="267"/>
      <c r="AC202" s="219">
        <f>IF(AA188="Ja",AC198,IF(AA175="Ja",AC185,IF(AA158="Ja",AC172,AC156)))</f>
        <v>121.41881443298969</v>
      </c>
      <c r="AD202" s="80" t="s">
        <v>86</v>
      </c>
      <c r="AF202" s="207" t="s">
        <v>186</v>
      </c>
      <c r="AG202" s="267"/>
      <c r="AH202" s="267"/>
      <c r="AI202" s="219">
        <f>IF(AG188="Ja",AI198,IF(AG175="Ja",AI185,IF(AG158="Ja",AI172,AI156)))</f>
        <v>140.38888888888889</v>
      </c>
      <c r="AJ202" s="80" t="s">
        <v>86</v>
      </c>
    </row>
    <row r="203" spans="8:36" x14ac:dyDescent="0.2">
      <c r="H203" s="260" t="s">
        <v>187</v>
      </c>
      <c r="I203" s="90" t="s">
        <v>25</v>
      </c>
      <c r="J203" s="92" t="s">
        <v>26</v>
      </c>
      <c r="K203" s="219"/>
      <c r="L203" s="80"/>
      <c r="N203" s="260" t="s">
        <v>187</v>
      </c>
      <c r="O203" s="90" t="s">
        <v>25</v>
      </c>
      <c r="P203" s="92" t="s">
        <v>26</v>
      </c>
      <c r="Q203" s="219"/>
      <c r="R203" s="80"/>
      <c r="T203" s="260" t="s">
        <v>187</v>
      </c>
      <c r="U203" s="90" t="s">
        <v>25</v>
      </c>
      <c r="V203" s="92" t="s">
        <v>26</v>
      </c>
      <c r="W203" s="219"/>
      <c r="X203" s="80"/>
      <c r="Z203" s="260" t="s">
        <v>187</v>
      </c>
      <c r="AA203" s="90" t="s">
        <v>25</v>
      </c>
      <c r="AB203" s="92" t="s">
        <v>26</v>
      </c>
      <c r="AC203" s="219"/>
      <c r="AD203" s="80"/>
      <c r="AF203" s="260" t="s">
        <v>187</v>
      </c>
      <c r="AG203" s="90" t="s">
        <v>25</v>
      </c>
      <c r="AH203" s="92" t="s">
        <v>26</v>
      </c>
      <c r="AI203" s="219"/>
      <c r="AJ203" s="80"/>
    </row>
    <row r="204" spans="8:36" ht="17" thickBot="1" x14ac:dyDescent="0.25">
      <c r="H204" s="187" t="s">
        <v>188</v>
      </c>
      <c r="I204" s="171"/>
      <c r="J204" s="62">
        <v>85</v>
      </c>
      <c r="K204" s="104">
        <f>J204</f>
        <v>85</v>
      </c>
      <c r="L204" s="185" t="s">
        <v>97</v>
      </c>
      <c r="N204" s="187" t="s">
        <v>188</v>
      </c>
      <c r="O204" s="171"/>
      <c r="P204" s="62">
        <v>85</v>
      </c>
      <c r="Q204" s="104">
        <f>P204</f>
        <v>85</v>
      </c>
      <c r="R204" s="185" t="s">
        <v>97</v>
      </c>
      <c r="T204" s="187" t="s">
        <v>188</v>
      </c>
      <c r="U204" s="171"/>
      <c r="V204" s="62">
        <v>85</v>
      </c>
      <c r="W204" s="104">
        <f>V204</f>
        <v>85</v>
      </c>
      <c r="X204" s="185" t="s">
        <v>97</v>
      </c>
      <c r="Z204" s="187" t="s">
        <v>188</v>
      </c>
      <c r="AA204" s="171"/>
      <c r="AB204" s="62">
        <v>85</v>
      </c>
      <c r="AC204" s="104">
        <f>AB204</f>
        <v>85</v>
      </c>
      <c r="AD204" s="185" t="s">
        <v>97</v>
      </c>
      <c r="AF204" s="187" t="s">
        <v>188</v>
      </c>
      <c r="AG204" s="171"/>
      <c r="AH204" s="62">
        <v>85</v>
      </c>
      <c r="AI204" s="104">
        <f>AH204</f>
        <v>85</v>
      </c>
      <c r="AJ204" s="185" t="s">
        <v>97</v>
      </c>
    </row>
    <row r="205" spans="8:36" ht="18" thickTop="1" thickBot="1" x14ac:dyDescent="0.25">
      <c r="H205" s="237" t="s">
        <v>99</v>
      </c>
      <c r="I205" s="69" t="s">
        <v>54</v>
      </c>
      <c r="J205" s="62"/>
      <c r="K205" s="236" cm="1">
        <f t="array" ref="K205">IF(ISBLANK(J205),INDEX(ProcesCost01[[#All],[Geen]:[Waarde MIN]],_xlfn.XMATCH('SCENARIO 4 - Vrij invulbaar'!H205,ProcesCost01[[#All],[Transportkosten]]),_xlfn.XMATCH('SCENARIO 4 - Vrij invulbaar'!I205,ProcesCost01[[#Headers],[Geen]:[Waarde MIN]])),J205)</f>
        <v>0.04</v>
      </c>
      <c r="L205" s="185" t="s">
        <v>100</v>
      </c>
      <c r="N205" s="237" t="s">
        <v>99</v>
      </c>
      <c r="O205" s="69" t="s">
        <v>54</v>
      </c>
      <c r="P205" s="62"/>
      <c r="Q205" s="236" cm="1">
        <f t="array" ref="Q205">IF(ISBLANK(P205),INDEX(ProcesCost01[[#All],[Geen]:[Waarde MIN]],_xlfn.XMATCH('SCENARIO 4 - Vrij invulbaar'!N205,ProcesCost01[[#All],[Transportkosten]]),_xlfn.XMATCH('SCENARIO 4 - Vrij invulbaar'!O205,ProcesCost01[[#Headers],[Geen]:[Waarde MIN]])),P205)</f>
        <v>0.04</v>
      </c>
      <c r="R205" s="185" t="s">
        <v>100</v>
      </c>
      <c r="T205" s="237" t="s">
        <v>99</v>
      </c>
      <c r="U205" s="69" t="s">
        <v>54</v>
      </c>
      <c r="V205" s="62"/>
      <c r="W205" s="236" cm="1">
        <f t="array" ref="W205">IF(ISBLANK(V205),INDEX(ProcesCost01[[#All],[Geen]:[Waarde MIN]],_xlfn.XMATCH('SCENARIO 4 - Vrij invulbaar'!T205,ProcesCost01[[#All],[Transportkosten]]),_xlfn.XMATCH('SCENARIO 4 - Vrij invulbaar'!U205,ProcesCost01[[#Headers],[Geen]:[Waarde MIN]])),V205)</f>
        <v>0.04</v>
      </c>
      <c r="X205" s="185" t="s">
        <v>100</v>
      </c>
      <c r="Z205" s="237" t="s">
        <v>99</v>
      </c>
      <c r="AA205" s="69" t="s">
        <v>54</v>
      </c>
      <c r="AB205" s="62"/>
      <c r="AC205" s="236" cm="1">
        <f t="array" ref="AC205">IF(ISBLANK(AB205),INDEX(ProcesCost01[[#All],[Geen]:[Waarde MIN]],_xlfn.XMATCH('SCENARIO 4 - Vrij invulbaar'!Z205,ProcesCost01[[#All],[Transportkosten]]),_xlfn.XMATCH('SCENARIO 4 - Vrij invulbaar'!AA205,ProcesCost01[[#Headers],[Geen]:[Waarde MIN]])),AB205)</f>
        <v>0.04</v>
      </c>
      <c r="AD205" s="185" t="s">
        <v>100</v>
      </c>
      <c r="AF205" s="237" t="s">
        <v>99</v>
      </c>
      <c r="AG205" s="69" t="s">
        <v>54</v>
      </c>
      <c r="AH205" s="62"/>
      <c r="AI205" s="236" cm="1">
        <f t="array" ref="AI205">IF(ISBLANK(AH205),INDEX(ProcesCost01[[#All],[Geen]:[Waarde MIN]],_xlfn.XMATCH('SCENARIO 4 - Vrij invulbaar'!AF205,ProcesCost01[[#All],[Transportkosten]]),_xlfn.XMATCH('SCENARIO 4 - Vrij invulbaar'!AG205,ProcesCost01[[#Headers],[Geen]:[Waarde MIN]])),AH205)</f>
        <v>0.04</v>
      </c>
      <c r="AJ205" s="185" t="s">
        <v>100</v>
      </c>
    </row>
    <row r="206" spans="8:36" ht="17" thickTop="1" x14ac:dyDescent="0.2">
      <c r="H206" s="207" t="s">
        <v>189</v>
      </c>
      <c r="I206" s="171"/>
      <c r="J206" s="62"/>
      <c r="K206" s="192">
        <f>IF(ISBLANK(J206),K204*K205*K202,J206)</f>
        <v>520.3888888888888</v>
      </c>
      <c r="L206" s="80" t="s">
        <v>102</v>
      </c>
      <c r="N206" s="207" t="s">
        <v>189</v>
      </c>
      <c r="O206" s="171"/>
      <c r="P206" s="62"/>
      <c r="Q206" s="192">
        <f>IF(ISBLANK(P206),Q204*Q205*Q202,P206)</f>
        <v>82.397959183673464</v>
      </c>
      <c r="R206" s="80" t="s">
        <v>102</v>
      </c>
      <c r="T206" s="207" t="s">
        <v>189</v>
      </c>
      <c r="U206" s="171"/>
      <c r="V206" s="62"/>
      <c r="W206" s="192">
        <f>IF(ISBLANK(V206),W204*W205*W202,V206)</f>
        <v>520.3888888888888</v>
      </c>
      <c r="X206" s="80" t="s">
        <v>102</v>
      </c>
      <c r="Z206" s="207" t="s">
        <v>189</v>
      </c>
      <c r="AA206" s="171"/>
      <c r="AB206" s="62"/>
      <c r="AC206" s="192">
        <f>IF(ISBLANK(AB206),AC204*AC205*AC202,AB206)</f>
        <v>412.82396907216491</v>
      </c>
      <c r="AD206" s="80" t="s">
        <v>102</v>
      </c>
      <c r="AF206" s="231" t="s">
        <v>189</v>
      </c>
      <c r="AG206" s="171"/>
      <c r="AH206" s="62"/>
      <c r="AI206" s="192">
        <f>IF(ISBLANK(AH206),AI204*AI205*AI202,AH206)</f>
        <v>477.32222222222219</v>
      </c>
      <c r="AJ206" s="80" t="s">
        <v>102</v>
      </c>
    </row>
    <row r="207" spans="8:36" x14ac:dyDescent="0.2">
      <c r="H207" s="81"/>
      <c r="I207" s="172"/>
      <c r="J207" s="172"/>
      <c r="K207" s="172"/>
      <c r="L207" s="82"/>
      <c r="N207" s="81"/>
      <c r="O207" s="172"/>
      <c r="P207" s="172"/>
      <c r="Q207" s="172"/>
      <c r="R207" s="82"/>
      <c r="T207" s="81"/>
      <c r="U207" s="172"/>
      <c r="V207" s="172"/>
      <c r="W207" s="172"/>
      <c r="X207" s="82"/>
      <c r="Z207" s="81"/>
      <c r="AA207" s="172"/>
      <c r="AB207" s="172"/>
      <c r="AC207" s="172"/>
      <c r="AD207" s="82"/>
      <c r="AF207" s="81"/>
      <c r="AG207" s="172"/>
      <c r="AH207" s="172"/>
      <c r="AI207" s="172"/>
      <c r="AJ207" s="82"/>
    </row>
    <row r="209" spans="2:36" s="106" customFormat="1" ht="17" x14ac:dyDescent="0.2">
      <c r="B209" s="105" t="s">
        <v>190</v>
      </c>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row>
    <row r="210" spans="2:36" x14ac:dyDescent="0.2">
      <c r="E210" s="3"/>
    </row>
    <row r="211" spans="2:36" x14ac:dyDescent="0.2">
      <c r="B211" s="87" t="s">
        <v>191</v>
      </c>
      <c r="C211" s="91"/>
      <c r="D211" s="173"/>
      <c r="E211" s="126"/>
      <c r="F211" s="85"/>
      <c r="H211" s="345" t="s">
        <v>192</v>
      </c>
      <c r="I211" s="346"/>
      <c r="J211" s="347"/>
      <c r="K211" s="348"/>
      <c r="L211" s="349"/>
      <c r="N211" s="87" t="s">
        <v>707</v>
      </c>
      <c r="O211" s="91"/>
      <c r="P211" s="173"/>
      <c r="Q211" s="126"/>
      <c r="R211" s="85"/>
    </row>
    <row r="212" spans="2:36" ht="17" thickBot="1" x14ac:dyDescent="0.25">
      <c r="B212" s="125"/>
      <c r="C212" s="90" t="s">
        <v>25</v>
      </c>
      <c r="D212" s="92" t="s">
        <v>26</v>
      </c>
      <c r="E212" s="393" t="s">
        <v>46</v>
      </c>
      <c r="F212" s="394" t="s">
        <v>47</v>
      </c>
      <c r="H212" s="350"/>
      <c r="I212" s="324" t="s">
        <v>25</v>
      </c>
      <c r="J212" s="92" t="s">
        <v>26</v>
      </c>
      <c r="K212" s="393" t="s">
        <v>46</v>
      </c>
      <c r="L212" s="351" t="s">
        <v>47</v>
      </c>
      <c r="N212" s="125"/>
      <c r="O212" s="90" t="s">
        <v>25</v>
      </c>
      <c r="P212" s="92" t="s">
        <v>26</v>
      </c>
      <c r="Q212" s="393" t="s">
        <v>46</v>
      </c>
      <c r="R212" s="394" t="s">
        <v>47</v>
      </c>
    </row>
    <row r="213" spans="2:36" ht="18" thickTop="1" thickBot="1" x14ac:dyDescent="0.25">
      <c r="B213" s="89" t="s">
        <v>645</v>
      </c>
      <c r="C213" s="69" t="s">
        <v>54</v>
      </c>
      <c r="D213" s="62"/>
      <c r="E213" s="56" cm="1">
        <f t="array" ref="E213">INDEX(Tabel3[[#All],[Geen]:[Waarde MIN]],_xlfn.XMATCH('SCENARIO 4 - Vrij invulbaar'!B213,Tabel3[[#All],[Overige inkomsten]]),_xlfn.XMATCH('SCENARIO 4 - Vrij invulbaar'!C213,Tabel3[[#Headers],[Geen]:[Waarde MIN]]))</f>
        <v>200</v>
      </c>
      <c r="F213" s="88">
        <f>IF(ISBLANK(D213),E213*$E$14,D213*$E$14)</f>
        <v>10000</v>
      </c>
      <c r="H213" s="352" t="str">
        <f>'DATA - Variabelen &amp; waarden'!B400</f>
        <v>GLB - basisbetaling</v>
      </c>
      <c r="I213" s="69" t="s">
        <v>54</v>
      </c>
      <c r="J213" s="62"/>
      <c r="K213" s="68" cm="1">
        <f t="array" ref="K213">_xlfn.XLOOKUP(I213,Tabel41[[#Headers],[Geen]:[Waarde MIN]],'DATA - Variabelen &amp; waarden'!D400:G400,"Selecteer waarde")</f>
        <v>262.91000000000003</v>
      </c>
      <c r="L213" s="353">
        <f>IF(ISBLANK(J213),K213*$E$14,J213*$E$14)</f>
        <v>13145.500000000002</v>
      </c>
      <c r="N213" s="89" t="s">
        <v>194</v>
      </c>
      <c r="O213" s="69" t="s">
        <v>54</v>
      </c>
      <c r="P213" s="93"/>
      <c r="Q213" s="56" cm="1">
        <f t="array" ref="Q213">INDEX(Tabel36[[#All],[Geen]:[Waarde MIN]],_xlfn.XMATCH('SCENARIO 4 - Vrij invulbaar'!N213,Tabel36[[#All],[Referentie inkomsten - netto bedrijfsresultaten]]),_xlfn.XMATCH('SCENARIO 4 - Vrij invulbaar'!O213,Tabel36[[#Headers],[Geen]:[Waarde MIN]]))</f>
        <v>1223.613595706619</v>
      </c>
      <c r="R213" s="88">
        <f>IF(ISBLANK(P213),Q213*$E$14,P213*$E$14)</f>
        <v>61180.679785330947</v>
      </c>
    </row>
    <row r="214" spans="2:36" ht="18" thickTop="1" thickBot="1" x14ac:dyDescent="0.25">
      <c r="B214" s="89" t="s">
        <v>195</v>
      </c>
      <c r="C214" s="69" t="s">
        <v>54</v>
      </c>
      <c r="D214" s="62"/>
      <c r="E214" s="56" cm="1">
        <f t="array" ref="E214">INDEX(Tabel3[[#All],[Geen]:[Waarde MIN]],_xlfn.XMATCH('SCENARIO 4 - Vrij invulbaar'!B214,Tabel3[[#All],[Overige inkomsten]]),_xlfn.XMATCH('SCENARIO 4 - Vrij invulbaar'!C214,Tabel3[[#Headers],[Geen]:[Waarde MIN]]))</f>
        <v>50</v>
      </c>
      <c r="F214" s="88">
        <f>IF(ISBLANK(D214),E214*$E$14,D214*$E$14)</f>
        <v>2500</v>
      </c>
      <c r="H214" s="352" t="str">
        <f>'DATA - Variabelen &amp; waarden'!B401</f>
        <v>GLB - vergroeningsbetaling</v>
      </c>
      <c r="I214" s="69" t="s">
        <v>54</v>
      </c>
      <c r="J214" s="62"/>
      <c r="K214" s="68" cm="1">
        <f t="array" ref="K214">_xlfn.XLOOKUP(I214,Tabel41[[#Headers],[Geen]:[Waarde MIN]],'DATA - Variabelen &amp; waarden'!D401:G401,"Selecteer waarde")</f>
        <v>113.7</v>
      </c>
      <c r="L214" s="353">
        <f>IF(ISBLANK(J214),K214*$E$14,J214*$E$14)</f>
        <v>5685</v>
      </c>
      <c r="N214" s="89" t="s">
        <v>196</v>
      </c>
      <c r="O214" s="69" t="s">
        <v>54</v>
      </c>
      <c r="P214" s="93"/>
      <c r="Q214" s="56" cm="1">
        <f t="array" ref="Q214">INDEX(Tabel36[[#All],[Geen]:[Waarde MIN]],_xlfn.XMATCH('SCENARIO 4 - Vrij invulbaar'!N214,Tabel36[[#All],[Referentie inkomsten - netto bedrijfsresultaten]]),_xlfn.XMATCH('SCENARIO 4 - Vrij invulbaar'!O214,Tabel36[[#Headers],[Geen]:[Waarde MIN]]))</f>
        <v>744</v>
      </c>
      <c r="R214" s="88">
        <f t="shared" ref="R214:R217" si="5">IF(ISBLANK(P214),Q214*$E$14,P214*$E$14)</f>
        <v>37200</v>
      </c>
    </row>
    <row r="215" spans="2:36" ht="18" thickTop="1" thickBot="1" x14ac:dyDescent="0.25">
      <c r="B215" s="89" t="s">
        <v>547</v>
      </c>
      <c r="C215" s="69" t="s">
        <v>54</v>
      </c>
      <c r="D215" s="62"/>
      <c r="E215" s="56" cm="1">
        <f t="array" ref="E215">INDEX(Tabel3[[#All],[Geen]:[Waarde MIN]],_xlfn.XMATCH('SCENARIO 4 - Vrij invulbaar'!B215,Tabel3[[#All],[Overige inkomsten]]),_xlfn.XMATCH('SCENARIO 4 - Vrij invulbaar'!C215,Tabel3[[#Headers],[Geen]:[Waarde MIN]]))</f>
        <v>0</v>
      </c>
      <c r="F215" s="88">
        <f>IF(ISBLANK(D215),E215*$E$14,D215*$E$14)</f>
        <v>0</v>
      </c>
      <c r="H215" s="352" t="str">
        <f>'DATA - Variabelen &amp; waarden'!B402</f>
        <v>Concept GLB - peil -30 tot 0</v>
      </c>
      <c r="I215" s="69" t="s">
        <v>63</v>
      </c>
      <c r="J215" s="62"/>
      <c r="K215" s="56" cm="1">
        <f t="array" ref="K215">_xlfn.XLOOKUP(I215,Tabel41[[#Headers],[Geen]:[Waarde MIN]],'DATA - Variabelen &amp; waarden'!D402:G402,"Selecteer waarde")</f>
        <v>0</v>
      </c>
      <c r="L215" s="353">
        <f t="shared" ref="L215:L216" si="6">IF(ISBLANK(J215),K215*$E$14,J215*$E$14)</f>
        <v>0</v>
      </c>
      <c r="N215" s="89" t="s">
        <v>197</v>
      </c>
      <c r="O215" s="69" t="s">
        <v>54</v>
      </c>
      <c r="P215" s="93"/>
      <c r="Q215" s="56" cm="1">
        <f t="array" ref="Q215">INDEX(Tabel36[[#All],[Geen]:[Waarde MIN]],_xlfn.XMATCH('SCENARIO 4 - Vrij invulbaar'!N215,Tabel36[[#All],[Referentie inkomsten - netto bedrijfsresultaten]]),_xlfn.XMATCH('SCENARIO 4 - Vrij invulbaar'!O215,Tabel36[[#Headers],[Geen]:[Waarde MIN]]))</f>
        <v>2909.3900000000003</v>
      </c>
      <c r="R215" s="88">
        <f t="shared" si="5"/>
        <v>145469.50000000003</v>
      </c>
    </row>
    <row r="216" spans="2:36" ht="18" thickTop="1" thickBot="1" x14ac:dyDescent="0.25">
      <c r="B216" s="89" t="s">
        <v>63</v>
      </c>
      <c r="C216" s="69" t="s">
        <v>54</v>
      </c>
      <c r="D216" s="62"/>
      <c r="E216" s="56" cm="1">
        <f t="array" ref="E216">INDEX(Tabel3[[#All],[Geen]:[Waarde MIN]],_xlfn.XMATCH('SCENARIO 4 - Vrij invulbaar'!B216,Tabel3[[#All],[Overige inkomsten]]),_xlfn.XMATCH('SCENARIO 4 - Vrij invulbaar'!C216,Tabel3[[#Headers],[Geen]:[Waarde MIN]]))</f>
        <v>0</v>
      </c>
      <c r="F216" s="88">
        <f>IF(ISBLANK(D216),E216*$E$14,D216*$E$14)</f>
        <v>0</v>
      </c>
      <c r="H216" s="352" t="str">
        <f>'DATA - Variabelen &amp; waarden'!B403</f>
        <v>Concept GLB - peil -30 tot -21</v>
      </c>
      <c r="I216" s="69" t="s">
        <v>63</v>
      </c>
      <c r="J216" s="62"/>
      <c r="K216" s="56" cm="1">
        <f t="array" ref="K216">_xlfn.XLOOKUP(I216,Tabel41[[#Headers],[Geen]:[Waarde MIN]],'DATA - Variabelen &amp; waarden'!D403:G403,"Selecteer waarde")</f>
        <v>0</v>
      </c>
      <c r="L216" s="353">
        <f t="shared" si="6"/>
        <v>0</v>
      </c>
      <c r="N216" s="89" t="s">
        <v>63</v>
      </c>
      <c r="O216" s="69" t="s">
        <v>54</v>
      </c>
      <c r="P216" s="93"/>
      <c r="Q216" s="314" cm="1">
        <f t="array" ref="Q216">INDEX(Tabel36[[#All],[Geen]:[Waarde MIN]],_xlfn.XMATCH('SCENARIO 4 - Vrij invulbaar'!N216,Tabel36[[#All],[Referentie inkomsten - netto bedrijfsresultaten]]),_xlfn.XMATCH('SCENARIO 4 - Vrij invulbaar'!O216,Tabel36[[#Headers],[Geen]:[Waarde MIN]]))</f>
        <v>0</v>
      </c>
      <c r="R216" s="88">
        <f t="shared" si="5"/>
        <v>0</v>
      </c>
    </row>
    <row r="217" spans="2:36" ht="18" thickTop="1" thickBot="1" x14ac:dyDescent="0.25">
      <c r="B217" s="89" t="s">
        <v>63</v>
      </c>
      <c r="C217" s="69" t="s">
        <v>54</v>
      </c>
      <c r="D217" s="62"/>
      <c r="E217" s="56" cm="1">
        <f t="array" ref="E217">INDEX(Tabel3[[#All],[Geen]:[Waarde MIN]],_xlfn.XMATCH('SCENARIO 4 - Vrij invulbaar'!B217,Tabel3[[#All],[Overige inkomsten]]),_xlfn.XMATCH('SCENARIO 4 - Vrij invulbaar'!C217,Tabel3[[#Headers],[Geen]:[Waarde MIN]]))</f>
        <v>0</v>
      </c>
      <c r="F217" s="88">
        <f>IF(ISBLANK(D217),E217*$E$14,D217*$E$14)</f>
        <v>0</v>
      </c>
      <c r="H217" s="352"/>
      <c r="I217" s="171"/>
      <c r="J217" s="171"/>
      <c r="K217" s="393"/>
      <c r="L217" s="351"/>
      <c r="N217" s="89" t="s">
        <v>63</v>
      </c>
      <c r="O217" s="69" t="s">
        <v>54</v>
      </c>
      <c r="P217" s="93"/>
      <c r="Q217" s="314" cm="1">
        <f t="array" ref="Q217">INDEX(Tabel36[[#All],[Geen]:[Waarde MIN]],_xlfn.XMATCH('SCENARIO 4 - Vrij invulbaar'!N217,Tabel36[[#All],[Referentie inkomsten - netto bedrijfsresultaten]]),_xlfn.XMATCH('SCENARIO 4 - Vrij invulbaar'!O217,Tabel36[[#Headers],[Geen]:[Waarde MIN]]))</f>
        <v>0</v>
      </c>
      <c r="R217" s="88">
        <f t="shared" si="5"/>
        <v>0</v>
      </c>
    </row>
    <row r="218" spans="2:36" ht="17" thickTop="1" x14ac:dyDescent="0.2">
      <c r="B218" s="79"/>
      <c r="C218" s="171"/>
      <c r="D218" s="171"/>
      <c r="E218" s="56"/>
      <c r="F218" s="80"/>
      <c r="H218" s="354"/>
      <c r="I218" s="355"/>
      <c r="J218" s="355"/>
      <c r="K218" s="355"/>
      <c r="L218" s="356"/>
      <c r="N218" s="81"/>
      <c r="O218" s="172"/>
      <c r="P218" s="172"/>
      <c r="Q218" s="172"/>
      <c r="R218" s="82"/>
    </row>
    <row r="219" spans="2:36" x14ac:dyDescent="0.2">
      <c r="B219" s="109" t="s">
        <v>742</v>
      </c>
      <c r="C219" s="90"/>
      <c r="D219" s="171"/>
      <c r="E219" s="92"/>
      <c r="F219" s="80"/>
      <c r="G219" s="28"/>
      <c r="H219" s="38"/>
      <c r="I219" s="38"/>
      <c r="J219" s="38"/>
      <c r="K219" s="38"/>
      <c r="L219" s="38"/>
    </row>
    <row r="220" spans="2:36" x14ac:dyDescent="0.2">
      <c r="B220" s="125"/>
      <c r="C220" s="90" t="s">
        <v>25</v>
      </c>
      <c r="D220" s="92" t="s">
        <v>26</v>
      </c>
      <c r="E220" s="330" t="s">
        <v>46</v>
      </c>
      <c r="F220" s="394" t="s">
        <v>47</v>
      </c>
      <c r="G220" s="28"/>
      <c r="N220" s="87" t="s">
        <v>764</v>
      </c>
      <c r="O220" s="91"/>
      <c r="P220" s="173"/>
      <c r="Q220" s="126"/>
      <c r="R220" s="85"/>
    </row>
    <row r="221" spans="2:36" ht="17" thickBot="1" x14ac:dyDescent="0.25">
      <c r="B221" s="187" t="s">
        <v>198</v>
      </c>
      <c r="C221" s="67">
        <f>E18</f>
        <v>15</v>
      </c>
      <c r="D221" s="62"/>
      <c r="E221" s="331">
        <f>IF(ISBLANK(D221),C221,D221)</f>
        <v>15</v>
      </c>
      <c r="F221" s="185" t="s">
        <v>36</v>
      </c>
      <c r="G221" s="28"/>
      <c r="N221" s="125"/>
      <c r="O221" s="333" t="s">
        <v>25</v>
      </c>
      <c r="P221" s="334" t="s">
        <v>26</v>
      </c>
      <c r="Q221" s="330" t="s">
        <v>46</v>
      </c>
      <c r="R221" s="394" t="s">
        <v>47</v>
      </c>
    </row>
    <row r="222" spans="2:36" ht="18" thickTop="1" thickBot="1" x14ac:dyDescent="0.25">
      <c r="B222" s="187" t="s">
        <v>199</v>
      </c>
      <c r="C222" s="69" t="s">
        <v>54</v>
      </c>
      <c r="D222" s="62"/>
      <c r="E222" s="332" cm="1">
        <f t="array" ref="E222">IF(ISBLANK(D222),_xlfn.XLOOKUP(C222,Tabel40[[#Headers],[Geen]:[Waarde MIN]],Tabel40[[Geen]:[Waarde MIN]],"Selecteer waarde"),D222)</f>
        <v>40</v>
      </c>
      <c r="F222" s="185" t="s">
        <v>200</v>
      </c>
      <c r="G222" s="28"/>
      <c r="N222" s="189" t="str" cm="1">
        <f t="array" ref="N222">Tabel42[Minimaal inkomen (netto bedrijfsresultaat)]</f>
        <v>Minimaal inkomen</v>
      </c>
      <c r="O222" s="69" t="s">
        <v>54</v>
      </c>
      <c r="P222" s="93"/>
      <c r="Q222" s="314" cm="1">
        <f t="array" ref="Q222">_xlfn.XLOOKUP(O222,Tabel42[[#Headers],[Geen]:[Waarde MIN]],Tabel42[[Geen]:[Waarde MIN]],"Selecteer waarde")</f>
        <v>1223.613595706619</v>
      </c>
      <c r="R222" s="88">
        <f>IF(ISBLANK(P222),Q222*$E$14,P222*$E$14)</f>
        <v>61180.679785330947</v>
      </c>
    </row>
    <row r="223" spans="2:36" ht="17" thickTop="1" x14ac:dyDescent="0.2">
      <c r="B223" s="207" t="s">
        <v>201</v>
      </c>
      <c r="C223" s="171"/>
      <c r="D223" s="171"/>
      <c r="E223" s="314">
        <f>E221*E222</f>
        <v>600</v>
      </c>
      <c r="F223" s="88">
        <f>E223*E14</f>
        <v>30000</v>
      </c>
      <c r="G223" s="28"/>
      <c r="N223" s="79"/>
      <c r="O223" s="171"/>
      <c r="P223" s="171"/>
      <c r="Q223" s="171"/>
      <c r="R223" s="80"/>
    </row>
    <row r="224" spans="2:36" x14ac:dyDescent="0.2">
      <c r="B224" s="322"/>
      <c r="C224" s="172"/>
      <c r="D224" s="172"/>
      <c r="E224" s="172"/>
      <c r="F224" s="323"/>
      <c r="G224" s="28"/>
      <c r="N224" s="322"/>
      <c r="O224" s="172"/>
      <c r="P224" s="172"/>
      <c r="Q224" s="172"/>
      <c r="R224" s="323"/>
    </row>
    <row r="228" spans="2:36" ht="19" x14ac:dyDescent="0.25">
      <c r="B228" s="283" t="s">
        <v>202</v>
      </c>
      <c r="C228" s="283"/>
      <c r="D228" s="283"/>
      <c r="E228" s="283"/>
      <c r="F228" s="283"/>
      <c r="G228" s="283"/>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row>
    <row r="230" spans="2:36" ht="17" x14ac:dyDescent="0.2">
      <c r="B230" s="105" t="s">
        <v>203</v>
      </c>
      <c r="C230" s="105"/>
      <c r="D230" s="105"/>
      <c r="E230" s="105"/>
      <c r="F230" s="105"/>
      <c r="G230" s="210"/>
      <c r="H230" s="105" t="s">
        <v>204</v>
      </c>
      <c r="I230" s="105"/>
      <c r="J230" s="105"/>
      <c r="K230" s="105"/>
      <c r="L230" s="105"/>
      <c r="M230" s="210"/>
      <c r="N230" s="105" t="s">
        <v>205</v>
      </c>
      <c r="O230" s="105"/>
      <c r="P230" s="105"/>
      <c r="Q230" s="105"/>
      <c r="R230" s="105"/>
      <c r="S230" s="105"/>
      <c r="T230" s="105"/>
    </row>
    <row r="231" spans="2:36" x14ac:dyDescent="0.2">
      <c r="B231" s="1"/>
      <c r="C231" s="1"/>
      <c r="D231" s="2"/>
      <c r="E231" s="2"/>
      <c r="F231" s="2"/>
    </row>
    <row r="232" spans="2:36" x14ac:dyDescent="0.2">
      <c r="B232" s="1" t="s">
        <v>206</v>
      </c>
      <c r="C232" s="1" t="s">
        <v>207</v>
      </c>
      <c r="D232" s="2" t="s">
        <v>47</v>
      </c>
      <c r="E232" s="2" t="s">
        <v>46</v>
      </c>
      <c r="F232" s="2" t="s">
        <v>208</v>
      </c>
      <c r="H232" s="1" t="s">
        <v>206</v>
      </c>
      <c r="I232" s="1" t="s">
        <v>207</v>
      </c>
      <c r="J232" s="2" t="s">
        <v>47</v>
      </c>
      <c r="K232" s="2" t="s">
        <v>46</v>
      </c>
      <c r="L232" s="2" t="s">
        <v>208</v>
      </c>
      <c r="N232" s="1" t="s">
        <v>206</v>
      </c>
      <c r="O232" s="1" t="s">
        <v>207</v>
      </c>
      <c r="P232" s="2" t="s">
        <v>47</v>
      </c>
      <c r="Q232" s="2" t="s">
        <v>46</v>
      </c>
      <c r="R232" s="2" t="s">
        <v>208</v>
      </c>
      <c r="T232" s="2" t="s">
        <v>753</v>
      </c>
    </row>
    <row r="233" spans="2:36" x14ac:dyDescent="0.2">
      <c r="B233" t="s">
        <v>209</v>
      </c>
      <c r="C233" t="s">
        <v>30</v>
      </c>
      <c r="D233" s="212">
        <f>E14</f>
        <v>50</v>
      </c>
      <c r="N233" t="s">
        <v>210</v>
      </c>
      <c r="O233" s="270" t="s">
        <v>211</v>
      </c>
      <c r="P233" s="294">
        <f>Q233*D233</f>
        <v>61180.679785330947</v>
      </c>
      <c r="Q233" s="212">
        <f>Q222</f>
        <v>1223.613595706619</v>
      </c>
      <c r="R233" s="212">
        <f>P233/D234</f>
        <v>101.96779964221824</v>
      </c>
      <c r="V233" s="294"/>
    </row>
    <row r="234" spans="2:36" x14ac:dyDescent="0.2">
      <c r="B234" t="s">
        <v>212</v>
      </c>
      <c r="C234" t="s">
        <v>81</v>
      </c>
      <c r="D234" s="212">
        <f>SUM(E84:E85)</f>
        <v>600</v>
      </c>
      <c r="E234">
        <f>D234/D233</f>
        <v>12</v>
      </c>
      <c r="N234" t="s">
        <v>213</v>
      </c>
      <c r="O234" t="s">
        <v>41</v>
      </c>
      <c r="P234" s="294">
        <f>Q234*D233</f>
        <v>750</v>
      </c>
      <c r="Q234" s="294">
        <f>E18</f>
        <v>15</v>
      </c>
      <c r="R234" s="414">
        <f>P234/D234</f>
        <v>1.25</v>
      </c>
    </row>
    <row r="235" spans="2:36" x14ac:dyDescent="0.2">
      <c r="P235" s="3"/>
      <c r="Q235" s="3"/>
      <c r="R235" s="3"/>
    </row>
    <row r="236" spans="2:36" ht="21" x14ac:dyDescent="0.25">
      <c r="B236" s="291" t="s">
        <v>755</v>
      </c>
      <c r="C236" s="291" t="s">
        <v>211</v>
      </c>
      <c r="D236" s="292">
        <f>SUM(D238,D246,D254,D256)</f>
        <v>414099.08464537014</v>
      </c>
      <c r="E236" s="292">
        <f t="shared" ref="E236:F236" si="7">SUM(E238,E246,E254,E256)</f>
        <v>8281.9816929074041</v>
      </c>
      <c r="F236" s="292">
        <f t="shared" si="7"/>
        <v>690.16514107561693</v>
      </c>
      <c r="G236" s="286"/>
      <c r="H236" s="291" t="s">
        <v>214</v>
      </c>
      <c r="I236" s="291"/>
      <c r="J236" s="291"/>
      <c r="K236" s="291"/>
      <c r="L236" s="291"/>
      <c r="N236" s="291" t="s">
        <v>215</v>
      </c>
      <c r="O236" s="291"/>
      <c r="P236" s="291"/>
      <c r="Q236" s="291"/>
      <c r="R236" s="291"/>
      <c r="S236" s="404"/>
      <c r="T236" s="404"/>
    </row>
    <row r="237" spans="2:36" x14ac:dyDescent="0.2">
      <c r="B237" s="148"/>
      <c r="D237" s="211"/>
      <c r="E237" s="211"/>
      <c r="F237" s="211"/>
    </row>
    <row r="238" spans="2:36" x14ac:dyDescent="0.2">
      <c r="B238" s="1" t="s">
        <v>216</v>
      </c>
      <c r="C238" s="1" t="s">
        <v>211</v>
      </c>
      <c r="D238" s="8">
        <f>SUM(D239:D244)</f>
        <v>352768.58464537014</v>
      </c>
      <c r="E238" s="8">
        <f>SUM(E239:E244)</f>
        <v>7055.3716929074035</v>
      </c>
      <c r="F238" s="8">
        <f>D238/$D$234</f>
        <v>587.94764107561684</v>
      </c>
      <c r="G238" s="1"/>
      <c r="H238" t="str">
        <f>IF(N213="Geen","-",N213)</f>
        <v>Melkvee op veen</v>
      </c>
      <c r="I238" s="270" t="str">
        <f>IF(H238="-","-","[€/a]")</f>
        <v>[€/a]</v>
      </c>
      <c r="J238" s="3">
        <f>R213</f>
        <v>61180.679785330947</v>
      </c>
      <c r="K238" s="3">
        <f>J238/$D$233</f>
        <v>1223.613595706619</v>
      </c>
      <c r="L238" s="281" t="str">
        <f>IF(H238="-","-","n.v.t")</f>
        <v>n.v.t</v>
      </c>
      <c r="N238" t="s">
        <v>217</v>
      </c>
      <c r="O238" s="270" t="s">
        <v>211</v>
      </c>
      <c r="P238" s="408">
        <f>Q238*$D$233</f>
        <v>113258.63901363313</v>
      </c>
      <c r="Q238" s="408">
        <f>IF(E284&lt;$Q$233,$Q$233-E284,0)</f>
        <v>2265.1727802726627</v>
      </c>
      <c r="R238" s="408">
        <f>P238/$D$234</f>
        <v>188.76439835605521</v>
      </c>
      <c r="S238" s="408"/>
      <c r="T238" s="409">
        <f>Q238/$Q$234</f>
        <v>151.01151868484419</v>
      </c>
    </row>
    <row r="239" spans="2:36" x14ac:dyDescent="0.2">
      <c r="B239" t="str">
        <f>B143</f>
        <v>Bouw - Inblaasisolatie</v>
      </c>
      <c r="C239" s="270" t="s">
        <v>211</v>
      </c>
      <c r="D239" s="3">
        <f>F143</f>
        <v>181309.61111111109</v>
      </c>
      <c r="E239" s="3">
        <f>D239/$D$233</f>
        <v>3626.192222222222</v>
      </c>
      <c r="F239" s="288">
        <f>I151</f>
        <v>1184.5999999999999</v>
      </c>
      <c r="H239" s="52" t="str">
        <f>IF(H238="-","-","Verschil lisdodde")</f>
        <v>Verschil lisdodde</v>
      </c>
      <c r="I239" s="52" t="str">
        <f>IF(H238="-","-","[€/a]")</f>
        <v>[€/a]</v>
      </c>
      <c r="J239" s="136">
        <f>IF(H238="-",0,$D$281-J238)</f>
        <v>-51928.139013633183</v>
      </c>
      <c r="K239" s="136">
        <f>IF(H238="-",0,$E$281-K238)</f>
        <v>-1038.5627802726622</v>
      </c>
      <c r="L239" s="280"/>
      <c r="N239" s="52" t="s">
        <v>751</v>
      </c>
      <c r="P239" s="408"/>
      <c r="Q239" s="408"/>
      <c r="R239" s="408"/>
      <c r="S239" s="408"/>
      <c r="T239" s="409"/>
    </row>
    <row r="240" spans="2:36" x14ac:dyDescent="0.2">
      <c r="B240" t="str">
        <f>B144</f>
        <v>Bouw - Beton - Droge mortel - Versterker</v>
      </c>
      <c r="C240" s="270" t="s">
        <v>211</v>
      </c>
      <c r="D240" s="3">
        <f>F144</f>
        <v>29229.05328798186</v>
      </c>
      <c r="E240" s="3">
        <f>D240/$D$233</f>
        <v>584.58106575963723</v>
      </c>
      <c r="F240" s="288">
        <f>O151</f>
        <v>1206.0830409356724</v>
      </c>
      <c r="I240" s="270"/>
      <c r="J240" s="3"/>
      <c r="L240" s="281"/>
      <c r="P240" s="408"/>
      <c r="Q240" s="408"/>
      <c r="R240" s="408"/>
      <c r="S240" s="408"/>
      <c r="T240" s="409"/>
    </row>
    <row r="241" spans="2:20" x14ac:dyDescent="0.2">
      <c r="B241" t="str">
        <f>B145</f>
        <v>Bouw - Isolatieplaat (Typha Board)</v>
      </c>
      <c r="C241" s="270" t="s">
        <v>211</v>
      </c>
      <c r="D241" s="3">
        <f>F145</f>
        <v>89476.277777777766</v>
      </c>
      <c r="E241" s="3">
        <f>D241/$D$233</f>
        <v>1789.5255555555552</v>
      </c>
      <c r="F241" s="288">
        <f>U151</f>
        <v>584.6</v>
      </c>
      <c r="H241" t="str">
        <f>IF(N214="Geen","-",N214)</f>
        <v>Verhuur / verpachten</v>
      </c>
      <c r="I241" s="270" t="str">
        <f>IF(H241="-","-","[€/a]")</f>
        <v>[€/a]</v>
      </c>
      <c r="J241" s="3">
        <f>R214</f>
        <v>37200</v>
      </c>
      <c r="K241" s="3">
        <f t="shared" ref="K241:K250" si="8">J241/$D$233</f>
        <v>744</v>
      </c>
      <c r="L241" s="281" t="str">
        <f>IF(H241="-","-","n.v.t")</f>
        <v>n.v.t</v>
      </c>
      <c r="N241" t="s">
        <v>218</v>
      </c>
      <c r="O241" s="270" t="s">
        <v>211</v>
      </c>
      <c r="P241" s="408">
        <f>Q241*$D$233</f>
        <v>94428.139013633161</v>
      </c>
      <c r="Q241" s="408">
        <f>IF(E287&lt;$Q$233,$Q$233-E287,0)</f>
        <v>1888.5627802726631</v>
      </c>
      <c r="R241" s="408">
        <f>P241/$D$234</f>
        <v>157.38023168938861</v>
      </c>
      <c r="S241" s="408"/>
      <c r="T241" s="409">
        <f>Q241/$Q$234</f>
        <v>125.90418535151088</v>
      </c>
    </row>
    <row r="242" spans="2:20" x14ac:dyDescent="0.2">
      <c r="B242" t="str">
        <f>B146</f>
        <v xml:space="preserve">Plastics - Spuitgieten - Vuller </v>
      </c>
      <c r="C242" s="270" t="s">
        <v>211</v>
      </c>
      <c r="D242" s="3">
        <f>F146</f>
        <v>28108.742468499426</v>
      </c>
      <c r="E242" s="3">
        <f>D242/$D$233</f>
        <v>562.17484936998846</v>
      </c>
      <c r="F242" s="288">
        <f>AA151</f>
        <v>231.5023631202763</v>
      </c>
      <c r="H242" s="52" t="str">
        <f>IF(H241="-","-","Verschil lisdodde")</f>
        <v>Verschil lisdodde</v>
      </c>
      <c r="I242" s="52" t="str">
        <f>IF(H241="-","-","[€/a]")</f>
        <v>[€/a]</v>
      </c>
      <c r="J242" s="136">
        <f>IF(H241="-",0,$D$281-J241)</f>
        <v>-27947.459228302236</v>
      </c>
      <c r="K242" s="136">
        <f>IF(H241="-",0,$E$281-K241)</f>
        <v>-558.94918456604319</v>
      </c>
      <c r="L242" s="280"/>
      <c r="N242" s="52" t="s">
        <v>743</v>
      </c>
      <c r="P242" s="408"/>
      <c r="Q242" s="408"/>
      <c r="R242" s="408"/>
      <c r="S242" s="408"/>
      <c r="T242" s="409"/>
    </row>
    <row r="243" spans="2:20" x14ac:dyDescent="0.2">
      <c r="B243" t="str">
        <f>B147</f>
        <v>Papier - Massief karton - Vuller</v>
      </c>
      <c r="C243" s="270" t="s">
        <v>211</v>
      </c>
      <c r="D243" s="3">
        <f>F147</f>
        <v>24644.9</v>
      </c>
      <c r="E243" s="3">
        <f>D243/$D$233</f>
        <v>492.89800000000002</v>
      </c>
      <c r="F243" s="288">
        <f>AG151</f>
        <v>175.54736842105262</v>
      </c>
      <c r="I243" s="270"/>
      <c r="J243" s="3"/>
      <c r="L243" s="281"/>
      <c r="P243" s="408"/>
      <c r="Q243" s="408"/>
      <c r="R243" s="408"/>
      <c r="S243" s="408"/>
      <c r="T243" s="409"/>
    </row>
    <row r="244" spans="2:20" x14ac:dyDescent="0.2">
      <c r="B244" s="52" t="s">
        <v>219</v>
      </c>
      <c r="C244" s="270" t="s">
        <v>211</v>
      </c>
      <c r="D244" s="209"/>
      <c r="E244" s="209"/>
      <c r="F244" s="209"/>
      <c r="H244" t="str">
        <f>IF(N215="Geen","-",N215)</f>
        <v>Zonnepanelen</v>
      </c>
      <c r="I244" s="270" t="str">
        <f>IF(H244="-","-","[€/a]")</f>
        <v>[€/a]</v>
      </c>
      <c r="J244" s="3">
        <f>R215</f>
        <v>145469.50000000003</v>
      </c>
      <c r="K244" s="3">
        <f t="shared" si="8"/>
        <v>2909.3900000000008</v>
      </c>
      <c r="L244" s="281" t="str">
        <f>IF(H244="-","-","n.v.t")</f>
        <v>n.v.t</v>
      </c>
      <c r="N244" t="s">
        <v>220</v>
      </c>
      <c r="O244" s="270" t="s">
        <v>211</v>
      </c>
      <c r="P244" s="408">
        <f>Q244*$D$233</f>
        <v>81928.139013633161</v>
      </c>
      <c r="Q244" s="408">
        <f>IF(E290&lt;$Q$233,$Q$233-E290,0)</f>
        <v>1638.5627802726631</v>
      </c>
      <c r="R244" s="408">
        <f>P244/$D$234</f>
        <v>136.54689835605527</v>
      </c>
      <c r="S244" s="408"/>
      <c r="T244" s="409">
        <f>Q244/$Q$234</f>
        <v>109.2375186848442</v>
      </c>
    </row>
    <row r="245" spans="2:20" x14ac:dyDescent="0.2">
      <c r="C245" s="270"/>
      <c r="D245" s="3"/>
      <c r="E245" s="3"/>
      <c r="F245" s="3"/>
      <c r="H245" s="52" t="str">
        <f>IF(H244="-","-","Verschil lisdodde")</f>
        <v>Verschil lisdodde</v>
      </c>
      <c r="I245" s="52" t="str">
        <f>IF(H244="-","-","[€/a]")</f>
        <v>[€/a]</v>
      </c>
      <c r="J245" s="136">
        <f>IF(H244="-",0,$D$281-J244)</f>
        <v>-136216.95922830226</v>
      </c>
      <c r="K245" s="136">
        <f>IF(H244="-",0,$E$281-K244)</f>
        <v>-2724.339184566044</v>
      </c>
      <c r="L245" s="280"/>
      <c r="N245" s="52" t="s">
        <v>744</v>
      </c>
      <c r="P245" s="408"/>
      <c r="Q245" s="408"/>
      <c r="R245" s="408"/>
      <c r="S245" s="408"/>
      <c r="T245" s="409"/>
    </row>
    <row r="246" spans="2:20" x14ac:dyDescent="0.2">
      <c r="B246" s="1" t="str">
        <f>B211</f>
        <v xml:space="preserve">Overige inkomsten </v>
      </c>
      <c r="C246" s="1" t="s">
        <v>211</v>
      </c>
      <c r="D246" s="8">
        <f>SUM(D247:D252)</f>
        <v>12500</v>
      </c>
      <c r="E246" s="8">
        <f>SUM(E247:E252)</f>
        <v>250</v>
      </c>
      <c r="F246" s="8">
        <f>SUM(F247:F252)</f>
        <v>20.833333333333336</v>
      </c>
      <c r="G246" s="1"/>
      <c r="I246" s="270"/>
      <c r="J246" s="3"/>
      <c r="L246" s="281"/>
      <c r="P246" s="408"/>
      <c r="Q246" s="408"/>
      <c r="R246" s="408"/>
      <c r="S246" s="408"/>
      <c r="T246" s="409"/>
    </row>
    <row r="247" spans="2:20" x14ac:dyDescent="0.2">
      <c r="B247" t="str">
        <f>IF(B213="Geen","-",B213)</f>
        <v>Natuurbeheerpakket</v>
      </c>
      <c r="C247" s="270" t="s">
        <v>211</v>
      </c>
      <c r="D247" s="3">
        <f>F213</f>
        <v>10000</v>
      </c>
      <c r="E247" s="3">
        <f>D247/$D$233</f>
        <v>200</v>
      </c>
      <c r="F247" s="3">
        <f>D247/$D$234</f>
        <v>16.666666666666668</v>
      </c>
      <c r="H247" t="str">
        <f>IF(N216="Geen","-",N216)</f>
        <v>-</v>
      </c>
      <c r="I247" s="270" t="str">
        <f>IF(H247="-","-","[€/a]")</f>
        <v>-</v>
      </c>
      <c r="J247" s="3">
        <f>R216</f>
        <v>0</v>
      </c>
      <c r="K247" s="3">
        <f t="shared" si="8"/>
        <v>0</v>
      </c>
      <c r="L247" s="281" t="str">
        <f>IF(H247="-","-","n.v.t")</f>
        <v>-</v>
      </c>
      <c r="N247" s="270" t="s">
        <v>752</v>
      </c>
      <c r="O247" s="270" t="s">
        <v>211</v>
      </c>
      <c r="P247" s="408">
        <f>Q247*$D$233</f>
        <v>51928.13901363311</v>
      </c>
      <c r="Q247" s="408">
        <f>IF(E293&lt;$Q$233,$Q$233-E293,0)</f>
        <v>1038.5627802726622</v>
      </c>
      <c r="R247" s="408">
        <f>P247/$D$234</f>
        <v>86.546898356055181</v>
      </c>
      <c r="S247" s="408"/>
      <c r="T247" s="409">
        <f>Q247/$Q$234</f>
        <v>69.237518684844147</v>
      </c>
    </row>
    <row r="248" spans="2:20" x14ac:dyDescent="0.2">
      <c r="B248" t="str">
        <f t="shared" ref="B248:B251" si="9">IF(B214="Geen","-",B214)</f>
        <v>Waterbuffering</v>
      </c>
      <c r="C248" s="270" t="s">
        <v>211</v>
      </c>
      <c r="D248" s="3">
        <f>F214</f>
        <v>2500</v>
      </c>
      <c r="E248" s="3">
        <f t="shared" ref="E248:E251" si="10">D248/$D$233</f>
        <v>50</v>
      </c>
      <c r="F248" s="3">
        <f>D248/$D$234</f>
        <v>4.166666666666667</v>
      </c>
      <c r="H248" s="52" t="str">
        <f>IF(H247="-","-","Verschil lisdodde")</f>
        <v>-</v>
      </c>
      <c r="I248" s="52" t="str">
        <f>IF(H247="-","-","[€/a]")</f>
        <v>-</v>
      </c>
      <c r="J248" s="136">
        <f>IF(H247="-",0,$D$281-J247)</f>
        <v>0</v>
      </c>
      <c r="K248" s="136">
        <f>IF(H247="-",0,$E$281-K247)</f>
        <v>0</v>
      </c>
      <c r="L248" s="280"/>
      <c r="N248" s="52" t="s">
        <v>221</v>
      </c>
      <c r="P248" s="408"/>
      <c r="Q248" s="408"/>
      <c r="R248" s="408"/>
      <c r="S248" s="408"/>
      <c r="T248" s="409"/>
    </row>
    <row r="249" spans="2:20" x14ac:dyDescent="0.2">
      <c r="B249" t="str">
        <f t="shared" si="9"/>
        <v>Overige ecosysteemdiensten</v>
      </c>
      <c r="C249" s="270" t="s">
        <v>211</v>
      </c>
      <c r="D249" s="3">
        <f>F215</f>
        <v>0</v>
      </c>
      <c r="E249" s="3">
        <f t="shared" si="10"/>
        <v>0</v>
      </c>
      <c r="F249" s="3">
        <f>D249/$D$234</f>
        <v>0</v>
      </c>
      <c r="I249" s="270"/>
      <c r="J249" s="3"/>
      <c r="L249" s="281"/>
      <c r="P249" s="408"/>
      <c r="Q249" s="408"/>
      <c r="R249" s="408"/>
      <c r="S249" s="408"/>
      <c r="T249" s="409"/>
    </row>
    <row r="250" spans="2:20" x14ac:dyDescent="0.2">
      <c r="B250" t="str">
        <f t="shared" si="9"/>
        <v>-</v>
      </c>
      <c r="C250" s="270" t="s">
        <v>211</v>
      </c>
      <c r="D250" s="3">
        <f>F216</f>
        <v>0</v>
      </c>
      <c r="E250" s="3">
        <f t="shared" si="10"/>
        <v>0</v>
      </c>
      <c r="F250" s="3">
        <f>D250/$D$234</f>
        <v>0</v>
      </c>
      <c r="H250" t="str">
        <f>IF(N217="Geen","-",N217)</f>
        <v>-</v>
      </c>
      <c r="I250" s="270" t="str">
        <f>IF(H250="-","-","[€/a]")</f>
        <v>-</v>
      </c>
      <c r="J250" s="3">
        <f>R217</f>
        <v>0</v>
      </c>
      <c r="K250" s="3">
        <f t="shared" si="8"/>
        <v>0</v>
      </c>
      <c r="L250" s="281" t="str">
        <f>IF(H250="-","-","n.v.t")</f>
        <v>-</v>
      </c>
      <c r="N250" s="38" t="s">
        <v>763</v>
      </c>
      <c r="O250" s="270" t="s">
        <v>211</v>
      </c>
      <c r="P250" s="408">
        <f>Q250*$D$233</f>
        <v>51928.13901363311</v>
      </c>
      <c r="Q250" s="408">
        <f>IF(E281&lt;$Q$233,$Q$233-E281,0)</f>
        <v>1038.5627802726622</v>
      </c>
      <c r="R250" s="408">
        <f>P250/$D$234</f>
        <v>86.546898356055181</v>
      </c>
      <c r="S250" s="408"/>
      <c r="T250" s="409">
        <f>Q250/$Q$234</f>
        <v>69.237518684844147</v>
      </c>
    </row>
    <row r="251" spans="2:20" x14ac:dyDescent="0.2">
      <c r="B251" t="str">
        <f t="shared" si="9"/>
        <v>-</v>
      </c>
      <c r="C251" s="270" t="s">
        <v>211</v>
      </c>
      <c r="D251" s="3">
        <f>F217</f>
        <v>0</v>
      </c>
      <c r="E251" s="3">
        <f t="shared" si="10"/>
        <v>0</v>
      </c>
      <c r="F251" s="3">
        <f>D251/$D$234</f>
        <v>0</v>
      </c>
      <c r="H251" s="52" t="str">
        <f>IF(H250="-","-","Verschil lisdodde")</f>
        <v>-</v>
      </c>
      <c r="I251" s="52" t="str">
        <f>IF(H250="-","-","[€/a]")</f>
        <v>-</v>
      </c>
      <c r="J251" s="136">
        <f>IF(H250="-",0,$D$281-J250)</f>
        <v>0</v>
      </c>
      <c r="K251" s="136">
        <f>IF(H250="-",0,$E$281-K250)</f>
        <v>0</v>
      </c>
      <c r="L251" s="280"/>
    </row>
    <row r="252" spans="2:20" x14ac:dyDescent="0.2">
      <c r="B252" s="52" t="s">
        <v>223</v>
      </c>
      <c r="C252" s="270" t="s">
        <v>211</v>
      </c>
      <c r="D252" s="94"/>
      <c r="E252" s="209"/>
      <c r="F252" s="209"/>
      <c r="H252" s="52"/>
    </row>
    <row r="253" spans="2:20" x14ac:dyDescent="0.2">
      <c r="C253" s="270"/>
      <c r="D253" s="2"/>
      <c r="E253" s="2"/>
      <c r="F253" s="2"/>
      <c r="H253" s="52" t="s">
        <v>708</v>
      </c>
      <c r="N253" s="295"/>
      <c r="O253" s="295"/>
      <c r="P253" s="295"/>
      <c r="Q253" s="295"/>
      <c r="R253" s="295"/>
    </row>
    <row r="254" spans="2:20" x14ac:dyDescent="0.2">
      <c r="B254" s="1" t="str">
        <f>B219</f>
        <v>Inkomsten CO2-certificaten</v>
      </c>
      <c r="C254" s="1" t="s">
        <v>211</v>
      </c>
      <c r="D254" s="402">
        <f>F223</f>
        <v>30000</v>
      </c>
      <c r="E254" s="8">
        <f>D254/$D$233</f>
        <v>600</v>
      </c>
      <c r="F254" s="8">
        <f>D254/$D$234</f>
        <v>50</v>
      </c>
      <c r="H254" s="52" t="s">
        <v>709</v>
      </c>
    </row>
    <row r="255" spans="2:20" ht="21" x14ac:dyDescent="0.25">
      <c r="C255" s="270"/>
      <c r="D255" s="2"/>
      <c r="E255" s="2"/>
      <c r="F255" s="2"/>
      <c r="G255" s="287"/>
      <c r="H255" s="396" t="s">
        <v>710</v>
      </c>
    </row>
    <row r="256" spans="2:20" x14ac:dyDescent="0.2">
      <c r="B256" s="1" t="str">
        <f>H211</f>
        <v>Inkomsten GLB subsidies</v>
      </c>
      <c r="C256" s="1" t="s">
        <v>211</v>
      </c>
      <c r="D256" s="402">
        <f>SUM(D257:D260)</f>
        <v>18830.5</v>
      </c>
      <c r="E256" s="402">
        <f t="shared" ref="E256:F256" si="11">SUM(E257:E260)</f>
        <v>376.61</v>
      </c>
      <c r="F256" s="402">
        <f t="shared" si="11"/>
        <v>31.384166666666673</v>
      </c>
    </row>
    <row r="257" spans="2:8" x14ac:dyDescent="0.2">
      <c r="B257" t="str">
        <f>H213</f>
        <v>GLB - basisbetaling</v>
      </c>
      <c r="C257" s="270" t="s">
        <v>211</v>
      </c>
      <c r="D257" s="403">
        <f>L213</f>
        <v>13145.500000000002</v>
      </c>
      <c r="E257" s="3">
        <f>D257/$D$233</f>
        <v>262.91000000000003</v>
      </c>
      <c r="F257" s="272">
        <f>D257/$D$234</f>
        <v>21.909166666666671</v>
      </c>
      <c r="G257" s="1"/>
      <c r="H257" s="28"/>
    </row>
    <row r="258" spans="2:8" x14ac:dyDescent="0.2">
      <c r="B258" t="str">
        <f t="shared" ref="B258:B260" si="12">H214</f>
        <v>GLB - vergroeningsbetaling</v>
      </c>
      <c r="C258" s="270" t="s">
        <v>211</v>
      </c>
      <c r="D258" s="403">
        <f t="shared" ref="D258:D260" si="13">L214</f>
        <v>5685</v>
      </c>
      <c r="E258" s="3">
        <f t="shared" ref="E258:E260" si="14">D258/$D$233</f>
        <v>113.7</v>
      </c>
      <c r="F258" s="272">
        <f t="shared" ref="F258:F260" si="15">D258/$D$234</f>
        <v>9.4749999999999996</v>
      </c>
    </row>
    <row r="259" spans="2:8" x14ac:dyDescent="0.2">
      <c r="B259" t="str">
        <f t="shared" si="12"/>
        <v>Concept GLB - peil -30 tot 0</v>
      </c>
      <c r="C259" s="270" t="s">
        <v>211</v>
      </c>
      <c r="D259" s="403">
        <f t="shared" si="13"/>
        <v>0</v>
      </c>
      <c r="E259" s="3">
        <f t="shared" si="14"/>
        <v>0</v>
      </c>
      <c r="F259" s="272">
        <f t="shared" si="15"/>
        <v>0</v>
      </c>
    </row>
    <row r="260" spans="2:8" x14ac:dyDescent="0.2">
      <c r="B260" t="str">
        <f t="shared" si="12"/>
        <v>Concept GLB - peil -30 tot -21</v>
      </c>
      <c r="C260" s="270" t="s">
        <v>211</v>
      </c>
      <c r="D260" s="403">
        <f t="shared" si="13"/>
        <v>0</v>
      </c>
      <c r="E260" s="3">
        <f t="shared" si="14"/>
        <v>0</v>
      </c>
      <c r="F260" s="272">
        <f t="shared" si="15"/>
        <v>0</v>
      </c>
    </row>
    <row r="261" spans="2:8" x14ac:dyDescent="0.2">
      <c r="C261" s="270"/>
      <c r="D261" s="403"/>
      <c r="E261" s="3"/>
      <c r="F261" s="272"/>
    </row>
    <row r="262" spans="2:8" x14ac:dyDescent="0.2">
      <c r="C262" s="270"/>
      <c r="D262" s="2"/>
      <c r="E262" s="2"/>
      <c r="F262" s="2"/>
    </row>
    <row r="263" spans="2:8" ht="19" x14ac:dyDescent="0.25">
      <c r="B263" s="291" t="s">
        <v>224</v>
      </c>
      <c r="C263" s="291" t="s">
        <v>211</v>
      </c>
      <c r="D263" s="292">
        <f>SUM(D278,D265,D273)</f>
        <v>404846.54387367237</v>
      </c>
      <c r="E263" s="292">
        <f>SUM(E278,E265,E273)</f>
        <v>8096.9308774734473</v>
      </c>
      <c r="F263" s="292">
        <f>SUM(F278,F265,F273)</f>
        <v>674.7442397894539</v>
      </c>
    </row>
    <row r="264" spans="2:8" x14ac:dyDescent="0.2">
      <c r="C264" s="270"/>
      <c r="D264" s="211"/>
      <c r="E264" s="211"/>
      <c r="F264" s="211"/>
    </row>
    <row r="265" spans="2:8" x14ac:dyDescent="0.2">
      <c r="B265" s="1" t="s">
        <v>3</v>
      </c>
      <c r="C265" s="1" t="s">
        <v>211</v>
      </c>
      <c r="D265" s="7">
        <f>SUM(D266:D271)</f>
        <v>172838.21054033903</v>
      </c>
      <c r="E265" s="7">
        <f>SUM(E266:E271)</f>
        <v>3456.7642108067807</v>
      </c>
      <c r="F265" s="7">
        <f>SUM(F266:F271)</f>
        <v>288.06368423389836</v>
      </c>
      <c r="G265" s="1"/>
      <c r="H265" s="1"/>
    </row>
    <row r="266" spans="2:8" x14ac:dyDescent="0.2">
      <c r="B266" t="str">
        <f t="shared" ref="B266:B271" si="16">B33</f>
        <v>Jaarlijks grondgebruik</v>
      </c>
      <c r="C266" s="270" t="s">
        <v>211</v>
      </c>
      <c r="D266" s="3">
        <f t="shared" ref="D266:D271" si="17">E33</f>
        <v>35700</v>
      </c>
      <c r="E266" s="3">
        <f>D266/$D$233</f>
        <v>714</v>
      </c>
      <c r="F266" s="3">
        <f t="shared" ref="F266:F271" si="18">D266/$D$234</f>
        <v>59.5</v>
      </c>
    </row>
    <row r="267" spans="2:8" x14ac:dyDescent="0.2">
      <c r="B267" t="str">
        <f t="shared" si="16"/>
        <v>Gewasverzorging</v>
      </c>
      <c r="C267" s="270" t="s">
        <v>211</v>
      </c>
      <c r="D267" s="3">
        <f t="shared" si="17"/>
        <v>26000</v>
      </c>
      <c r="E267" s="3">
        <f t="shared" ref="E267:E271" si="19">D267/$D$233</f>
        <v>520</v>
      </c>
      <c r="F267" s="3">
        <f t="shared" si="18"/>
        <v>43.333333333333336</v>
      </c>
    </row>
    <row r="268" spans="2:8" x14ac:dyDescent="0.2">
      <c r="B268" t="str">
        <f t="shared" si="16"/>
        <v>Energieverbruik en water</v>
      </c>
      <c r="C268" s="270" t="s">
        <v>211</v>
      </c>
      <c r="D268" s="3">
        <f t="shared" si="17"/>
        <v>5000</v>
      </c>
      <c r="E268" s="3">
        <f t="shared" si="19"/>
        <v>100</v>
      </c>
      <c r="F268" s="3">
        <f t="shared" si="18"/>
        <v>8.3333333333333339</v>
      </c>
    </row>
    <row r="269" spans="2:8" x14ac:dyDescent="0.2">
      <c r="B269" t="str">
        <f t="shared" si="16"/>
        <v>Belastingen en verzekeringen</v>
      </c>
      <c r="C269" s="270" t="s">
        <v>211</v>
      </c>
      <c r="D269" s="3">
        <f t="shared" si="17"/>
        <v>7420</v>
      </c>
      <c r="E269" s="3">
        <f t="shared" si="19"/>
        <v>148.4</v>
      </c>
      <c r="F269" s="3">
        <f t="shared" si="18"/>
        <v>12.366666666666667</v>
      </c>
    </row>
    <row r="270" spans="2:8" x14ac:dyDescent="0.2">
      <c r="B270" t="str">
        <f t="shared" si="16"/>
        <v>Onderhoud</v>
      </c>
      <c r="C270" s="270" t="s">
        <v>211</v>
      </c>
      <c r="D270" s="3">
        <f t="shared" si="17"/>
        <v>18375</v>
      </c>
      <c r="E270" s="3">
        <f t="shared" si="19"/>
        <v>367.5</v>
      </c>
      <c r="F270" s="3">
        <f t="shared" si="18"/>
        <v>30.625</v>
      </c>
      <c r="H270" s="52"/>
    </row>
    <row r="271" spans="2:8" x14ac:dyDescent="0.2">
      <c r="B271" t="str">
        <f t="shared" si="16"/>
        <v>Afschrijving &amp; aflossing teeltinvesteringen</v>
      </c>
      <c r="C271" s="270" t="s">
        <v>211</v>
      </c>
      <c r="D271" s="3">
        <f t="shared" si="17"/>
        <v>80343.210540339031</v>
      </c>
      <c r="E271" s="3">
        <f t="shared" si="19"/>
        <v>1606.8642108067806</v>
      </c>
      <c r="F271" s="3">
        <f t="shared" si="18"/>
        <v>133.90535090056505</v>
      </c>
    </row>
    <row r="272" spans="2:8" x14ac:dyDescent="0.2">
      <c r="C272" s="270"/>
      <c r="D272" s="3"/>
      <c r="E272" s="3"/>
      <c r="F272" s="3"/>
    </row>
    <row r="273" spans="2:18" s="28" customFormat="1" ht="19" x14ac:dyDescent="0.25">
      <c r="B273" s="1" t="s">
        <v>94</v>
      </c>
      <c r="C273" s="1" t="s">
        <v>211</v>
      </c>
      <c r="D273" s="8">
        <f>SUM(D274:D276)</f>
        <v>232008.33333333334</v>
      </c>
      <c r="E273" s="8">
        <f>SUM(E274:E276)</f>
        <v>4640.166666666667</v>
      </c>
      <c r="F273" s="8">
        <f>SUM(F274:F276)</f>
        <v>386.68055555555554</v>
      </c>
      <c r="G273" s="285"/>
      <c r="H273" s="285"/>
      <c r="K273" s="175"/>
      <c r="N273"/>
      <c r="O273"/>
      <c r="P273"/>
      <c r="Q273"/>
      <c r="R273"/>
    </row>
    <row r="274" spans="2:18" x14ac:dyDescent="0.2">
      <c r="B274" t="s">
        <v>4</v>
      </c>
      <c r="C274" s="270" t="s">
        <v>211</v>
      </c>
      <c r="D274" s="3">
        <f>SUM(E88,E90)</f>
        <v>87250</v>
      </c>
      <c r="E274" s="3">
        <f>D274/$D$233</f>
        <v>1745</v>
      </c>
      <c r="F274" s="3">
        <f>D274/$D$234</f>
        <v>145.41666666666666</v>
      </c>
    </row>
    <row r="275" spans="2:18" x14ac:dyDescent="0.2">
      <c r="B275" t="s">
        <v>5</v>
      </c>
      <c r="C275" s="270" t="s">
        <v>211</v>
      </c>
      <c r="D275" s="3">
        <f>SUM(E89,E91)</f>
        <v>5425</v>
      </c>
      <c r="E275" s="3">
        <f t="shared" ref="E275:E276" si="20">D275/$D$233</f>
        <v>108.5</v>
      </c>
      <c r="F275" s="3">
        <f>D275/$D$234</f>
        <v>9.0416666666666661</v>
      </c>
    </row>
    <row r="276" spans="2:18" x14ac:dyDescent="0.2">
      <c r="B276" t="str">
        <f>B92</f>
        <v>Voordroogkosten</v>
      </c>
      <c r="C276" s="270" t="s">
        <v>211</v>
      </c>
      <c r="D276" s="3">
        <f>E92</f>
        <v>139333.33333333334</v>
      </c>
      <c r="E276" s="3">
        <f t="shared" si="20"/>
        <v>2786.666666666667</v>
      </c>
      <c r="F276" s="3">
        <f>D276/$D$234</f>
        <v>232.22222222222223</v>
      </c>
      <c r="N276" s="28"/>
      <c r="O276" s="28"/>
      <c r="P276" s="28"/>
      <c r="Q276" s="28"/>
      <c r="R276" s="28"/>
    </row>
    <row r="277" spans="2:18" x14ac:dyDescent="0.2">
      <c r="C277" s="270"/>
      <c r="D277" s="3"/>
      <c r="E277" s="3"/>
      <c r="F277" s="3"/>
    </row>
    <row r="278" spans="2:18" x14ac:dyDescent="0.2">
      <c r="B278" s="52" t="s">
        <v>225</v>
      </c>
      <c r="C278" s="270" t="s">
        <v>211</v>
      </c>
      <c r="D278" s="93"/>
      <c r="E278" s="93"/>
      <c r="F278" s="93"/>
    </row>
    <row r="279" spans="2:18" x14ac:dyDescent="0.2">
      <c r="B279" s="284"/>
      <c r="C279" s="270"/>
      <c r="H279" s="293"/>
    </row>
    <row r="280" spans="2:18" x14ac:dyDescent="0.2">
      <c r="B280" s="284"/>
      <c r="C280" s="270"/>
      <c r="H280" s="28"/>
    </row>
    <row r="281" spans="2:18" ht="19" x14ac:dyDescent="0.25">
      <c r="B281" s="291" t="s">
        <v>226</v>
      </c>
      <c r="C281" s="291" t="s">
        <v>211</v>
      </c>
      <c r="D281" s="292">
        <f>D236-D263</f>
        <v>9252.5407716977643</v>
      </c>
      <c r="E281" s="292">
        <f>E236-E263</f>
        <v>185.05081543395681</v>
      </c>
      <c r="F281" s="292">
        <f>F236-F263</f>
        <v>15.42090128616303</v>
      </c>
      <c r="H281" s="28"/>
    </row>
    <row r="282" spans="2:18" ht="19" x14ac:dyDescent="0.25">
      <c r="B282" s="410"/>
      <c r="C282" s="410"/>
      <c r="D282" s="411">
        <f>D281/D236</f>
        <v>2.2343784651496001E-2</v>
      </c>
      <c r="E282" s="411">
        <f t="shared" ref="E282:F282" si="21">E281/E236</f>
        <v>2.2343784651496182E-2</v>
      </c>
      <c r="F282" s="412">
        <f t="shared" si="21"/>
        <v>2.234378465149613E-2</v>
      </c>
      <c r="H282" s="28"/>
    </row>
    <row r="283" spans="2:18" x14ac:dyDescent="0.2">
      <c r="C283" s="270"/>
      <c r="D283" s="3"/>
      <c r="E283" s="3"/>
      <c r="F283" s="3"/>
      <c r="H283" s="28"/>
    </row>
    <row r="284" spans="2:18" x14ac:dyDescent="0.2">
      <c r="B284" s="1" t="s">
        <v>227</v>
      </c>
      <c r="C284" s="1" t="s">
        <v>211</v>
      </c>
      <c r="D284" s="8">
        <f>D238-D263</f>
        <v>-52077.959228302236</v>
      </c>
      <c r="E284" s="8">
        <f>E238-E263</f>
        <v>-1041.5591845660438</v>
      </c>
      <c r="F284" s="8">
        <f>F238-F263</f>
        <v>-86.796598713837056</v>
      </c>
      <c r="H284" s="28"/>
    </row>
    <row r="285" spans="2:18" x14ac:dyDescent="0.2">
      <c r="B285" s="52" t="s">
        <v>751</v>
      </c>
      <c r="C285" s="270"/>
      <c r="D285" s="413">
        <f>D284/D238</f>
        <v>-0.14762640862891738</v>
      </c>
      <c r="E285" s="413">
        <f t="shared" ref="E285:F285" si="22">E284/E238</f>
        <v>-0.14762640862891721</v>
      </c>
      <c r="F285" s="413">
        <f t="shared" si="22"/>
        <v>-0.14762640862891738</v>
      </c>
      <c r="H285" s="28"/>
    </row>
    <row r="286" spans="2:18" x14ac:dyDescent="0.2">
      <c r="C286" s="270"/>
      <c r="D286" s="3"/>
      <c r="E286" s="3"/>
      <c r="F286" s="3"/>
      <c r="H286" s="28"/>
    </row>
    <row r="287" spans="2:18" x14ac:dyDescent="0.2">
      <c r="B287" s="1" t="s">
        <v>228</v>
      </c>
      <c r="C287" s="1" t="s">
        <v>211</v>
      </c>
      <c r="D287" s="7">
        <f>D238+D257+D258-D263</f>
        <v>-33247.459228302236</v>
      </c>
      <c r="E287" s="7">
        <f>E238+E257+E258-E263</f>
        <v>-664.9491845660441</v>
      </c>
      <c r="F287" s="7">
        <f>F238+F257+F258-F263</f>
        <v>-55.412432047170341</v>
      </c>
      <c r="H287" s="28"/>
    </row>
    <row r="288" spans="2:18" x14ac:dyDescent="0.2">
      <c r="B288" s="52" t="s">
        <v>743</v>
      </c>
      <c r="D288" s="413">
        <f>D287/(D238+D257+D258)</f>
        <v>-8.9471316270952159E-2</v>
      </c>
      <c r="E288" s="413">
        <f t="shared" ref="E288:F288" si="23">E287/(E238+E257+E258)</f>
        <v>-8.9471316270952075E-2</v>
      </c>
      <c r="F288" s="413">
        <f t="shared" si="23"/>
        <v>-8.9471316270952075E-2</v>
      </c>
      <c r="H288" s="28"/>
    </row>
    <row r="289" spans="2:8" x14ac:dyDescent="0.2">
      <c r="H289" s="28"/>
    </row>
    <row r="290" spans="2:8" x14ac:dyDescent="0.2">
      <c r="B290" s="1" t="s">
        <v>745</v>
      </c>
      <c r="C290" s="1" t="s">
        <v>211</v>
      </c>
      <c r="D290" s="7">
        <f>D238+D246+D257+D258-D263</f>
        <v>-20747.459228302236</v>
      </c>
      <c r="E290" s="7">
        <f>E238+E246+E257+E258-E263</f>
        <v>-414.9491845660441</v>
      </c>
      <c r="F290" s="7">
        <f>F238+F246+F257+F258-F263</f>
        <v>-34.57909871383697</v>
      </c>
      <c r="H290" s="28"/>
    </row>
    <row r="291" spans="2:8" x14ac:dyDescent="0.2">
      <c r="B291" s="52" t="s">
        <v>744</v>
      </c>
      <c r="D291" s="413">
        <f>D290/(D238+D257+D258+D246)</f>
        <v>-5.4015903858396039E-2</v>
      </c>
      <c r="E291" s="413">
        <f t="shared" ref="E291:F291" si="24">E290/(E238+E257+E258+E246)</f>
        <v>-5.4015903858395956E-2</v>
      </c>
      <c r="F291" s="413">
        <f t="shared" si="24"/>
        <v>-5.40159038583959E-2</v>
      </c>
    </row>
    <row r="292" spans="2:8" x14ac:dyDescent="0.2">
      <c r="H292" s="28"/>
    </row>
    <row r="293" spans="2:8" x14ac:dyDescent="0.2">
      <c r="B293" s="1" t="s">
        <v>746</v>
      </c>
      <c r="C293" s="1" t="s">
        <v>211</v>
      </c>
      <c r="D293" s="7">
        <f>D238+D246+D254+D257+D258-D263</f>
        <v>9252.5407716977643</v>
      </c>
      <c r="E293" s="7">
        <f t="shared" ref="E293:F293" si="25">E238+E246+E254+E257+E258-E263</f>
        <v>185.05081543395681</v>
      </c>
      <c r="F293" s="7">
        <f t="shared" si="25"/>
        <v>15.42090128616303</v>
      </c>
      <c r="H293" s="28"/>
    </row>
    <row r="294" spans="2:8" x14ac:dyDescent="0.2">
      <c r="B294" s="52" t="s">
        <v>221</v>
      </c>
      <c r="D294" s="413">
        <f>D293/(D238+D257+D258+D246+D254)</f>
        <v>2.2343784651496001E-2</v>
      </c>
      <c r="E294" s="413">
        <f t="shared" ref="E294:F294" si="26">E293/(E238+E257+E258+E246+E254)</f>
        <v>2.2343784651496182E-2</v>
      </c>
      <c r="F294" s="413">
        <f t="shared" si="26"/>
        <v>2.234378465149613E-2</v>
      </c>
    </row>
    <row r="297" spans="2:8" ht="19" x14ac:dyDescent="0.25">
      <c r="B297" s="291" t="s">
        <v>229</v>
      </c>
      <c r="C297" s="291"/>
      <c r="D297" s="291"/>
      <c r="E297" s="291"/>
      <c r="F297" s="291"/>
    </row>
    <row r="298" spans="2:8" x14ac:dyDescent="0.2">
      <c r="B298" s="38"/>
    </row>
    <row r="299" spans="2:8" x14ac:dyDescent="0.2">
      <c r="B299" s="269" t="s">
        <v>231</v>
      </c>
    </row>
    <row r="300" spans="2:8" x14ac:dyDescent="0.2">
      <c r="B300" s="52" t="s">
        <v>757</v>
      </c>
    </row>
    <row r="301" spans="2:8" x14ac:dyDescent="0.2">
      <c r="B301" s="269"/>
    </row>
    <row r="302" spans="2:8" x14ac:dyDescent="0.2">
      <c r="B302" t="s">
        <v>756</v>
      </c>
      <c r="C302" t="s">
        <v>232</v>
      </c>
      <c r="F302" s="407">
        <f>D263/D234</f>
        <v>674.7442397894539</v>
      </c>
    </row>
    <row r="303" spans="2:8" x14ac:dyDescent="0.2">
      <c r="C303" s="52"/>
    </row>
    <row r="304" spans="2:8" x14ac:dyDescent="0.2">
      <c r="B304" t="s">
        <v>765</v>
      </c>
      <c r="C304" t="s">
        <v>232</v>
      </c>
      <c r="F304" s="407">
        <f>(D263+P233)/D234</f>
        <v>776.71203943167222</v>
      </c>
    </row>
    <row r="305" spans="2:8" x14ac:dyDescent="0.2">
      <c r="B305" s="52"/>
      <c r="C305" s="52"/>
    </row>
    <row r="306" spans="2:8" x14ac:dyDescent="0.2">
      <c r="B306" s="297" t="s">
        <v>766</v>
      </c>
    </row>
    <row r="307" spans="2:8" x14ac:dyDescent="0.2">
      <c r="B307" s="296" t="s">
        <v>758</v>
      </c>
    </row>
    <row r="308" spans="2:8" x14ac:dyDescent="0.2">
      <c r="B308" s="296"/>
    </row>
    <row r="309" spans="2:8" x14ac:dyDescent="0.2">
      <c r="B309" t="s">
        <v>754</v>
      </c>
      <c r="C309" t="s">
        <v>30</v>
      </c>
      <c r="D309" s="406">
        <f>D263/E238</f>
        <v>57.381320431445864</v>
      </c>
      <c r="E309" s="405">
        <f>E263/E238</f>
        <v>1.1476264086289172</v>
      </c>
    </row>
    <row r="310" spans="2:8" x14ac:dyDescent="0.2">
      <c r="H310" s="28"/>
    </row>
    <row r="311" spans="2:8" x14ac:dyDescent="0.2">
      <c r="B311" s="177" t="s">
        <v>230</v>
      </c>
      <c r="C311" t="s">
        <v>30</v>
      </c>
      <c r="D311" s="406">
        <f>D263/(E238+E257+E258)</f>
        <v>54.473565813547609</v>
      </c>
      <c r="E311" s="405">
        <f>E263/(E238+E257+E258)</f>
        <v>1.0894713162709522</v>
      </c>
    </row>
    <row r="312" spans="2:8" x14ac:dyDescent="0.2">
      <c r="B312" s="177"/>
      <c r="D312" s="406"/>
      <c r="E312" s="405"/>
    </row>
    <row r="313" spans="2:8" x14ac:dyDescent="0.2">
      <c r="B313" s="270" t="s">
        <v>760</v>
      </c>
      <c r="C313" t="s">
        <v>30</v>
      </c>
      <c r="D313" s="406">
        <f>D263/(E238+E257+E258+E246)</f>
        <v>52.700795192919799</v>
      </c>
      <c r="E313" s="405">
        <f>E263/(E238+E257+E258+E246)</f>
        <v>1.0540159038583961</v>
      </c>
    </row>
    <row r="314" spans="2:8" x14ac:dyDescent="0.2">
      <c r="B314" s="177"/>
      <c r="D314" s="406"/>
      <c r="E314" s="405"/>
    </row>
    <row r="315" spans="2:8" x14ac:dyDescent="0.2">
      <c r="B315" s="270" t="s">
        <v>761</v>
      </c>
      <c r="C315" t="s">
        <v>30</v>
      </c>
      <c r="D315" s="406">
        <f>D263/(E238+E257+E258+E246+E254)</f>
        <v>48.882810767425191</v>
      </c>
      <c r="E315" s="405">
        <f>E263/(E238+E257+E258+E246+E254)</f>
        <v>0.97765621534850378</v>
      </c>
    </row>
    <row r="316" spans="2:8" x14ac:dyDescent="0.2">
      <c r="B316" s="177"/>
      <c r="D316" s="406"/>
      <c r="E316" s="405"/>
    </row>
    <row r="317" spans="2:8" x14ac:dyDescent="0.2">
      <c r="B317" s="38" t="s">
        <v>762</v>
      </c>
      <c r="C317" t="s">
        <v>30</v>
      </c>
      <c r="D317" s="406">
        <f>D263/E236</f>
        <v>48.882810767425191</v>
      </c>
      <c r="E317" s="405">
        <f>E263/E236</f>
        <v>0.97765621534850378</v>
      </c>
    </row>
    <row r="318" spans="2:8" x14ac:dyDescent="0.2">
      <c r="B318" s="177"/>
      <c r="D318" s="406"/>
      <c r="E318" s="405"/>
    </row>
    <row r="319" spans="2:8" x14ac:dyDescent="0.2">
      <c r="B319" s="297" t="s">
        <v>767</v>
      </c>
    </row>
    <row r="320" spans="2:8" x14ac:dyDescent="0.2">
      <c r="B320" s="296" t="s">
        <v>758</v>
      </c>
    </row>
    <row r="321" spans="2:8" x14ac:dyDescent="0.2">
      <c r="B321" s="296"/>
    </row>
    <row r="322" spans="2:8" x14ac:dyDescent="0.2">
      <c r="B322" t="s">
        <v>754</v>
      </c>
      <c r="C322" t="s">
        <v>30</v>
      </c>
      <c r="D322" s="406">
        <f>(D263+P233)/E238</f>
        <v>66.052823854410022</v>
      </c>
      <c r="E322" s="405">
        <f>(E263+Q233)/E238</f>
        <v>1.3210564770882005</v>
      </c>
    </row>
    <row r="323" spans="2:8" x14ac:dyDescent="0.2">
      <c r="H323" s="28"/>
    </row>
    <row r="324" spans="2:8" x14ac:dyDescent="0.2">
      <c r="B324" s="177" t="s">
        <v>230</v>
      </c>
      <c r="C324" t="s">
        <v>30</v>
      </c>
      <c r="D324" s="406">
        <f>(D263+P233)/(E238+E257+E258)</f>
        <v>62.705647418877419</v>
      </c>
      <c r="E324" s="405">
        <f>(E263+Q233)/(E238+E257+E258)</f>
        <v>1.2541129483775484</v>
      </c>
    </row>
    <row r="325" spans="2:8" x14ac:dyDescent="0.2">
      <c r="B325" s="177"/>
      <c r="D325" s="406"/>
      <c r="E325" s="405"/>
    </row>
    <row r="326" spans="2:8" x14ac:dyDescent="0.2">
      <c r="B326" s="270" t="s">
        <v>760</v>
      </c>
      <c r="C326" t="s">
        <v>30</v>
      </c>
      <c r="D326" s="406">
        <f>(D263+P233)/(E238+E257+E258+E246)</f>
        <v>60.664974519436242</v>
      </c>
      <c r="E326" s="405">
        <f>(E263+Q233)/(E238+E257+E258+E246)</f>
        <v>1.2132994903887251</v>
      </c>
    </row>
    <row r="327" spans="2:8" x14ac:dyDescent="0.2">
      <c r="B327" s="177"/>
      <c r="D327" s="406"/>
      <c r="E327" s="405"/>
    </row>
    <row r="328" spans="2:8" x14ac:dyDescent="0.2">
      <c r="B328" s="270" t="s">
        <v>761</v>
      </c>
      <c r="C328" t="s">
        <v>30</v>
      </c>
      <c r="D328" s="406">
        <f>(D263+P233)/(E238+E257+E258+E246+E254)</f>
        <v>56.270013740564508</v>
      </c>
      <c r="E328" s="405">
        <f>(E263+Q233)/(E238+E257+E258+E246+E254)</f>
        <v>1.1254002748112901</v>
      </c>
    </row>
    <row r="329" spans="2:8" x14ac:dyDescent="0.2">
      <c r="B329" s="177"/>
      <c r="D329" s="406"/>
      <c r="E329" s="405"/>
    </row>
    <row r="330" spans="2:8" x14ac:dyDescent="0.2">
      <c r="B330" s="38" t="s">
        <v>762</v>
      </c>
      <c r="C330" t="s">
        <v>30</v>
      </c>
      <c r="D330" s="406">
        <f>(D263+P233)/E236</f>
        <v>56.270013740564508</v>
      </c>
      <c r="E330" s="405">
        <f>(E263+Q233)/E236</f>
        <v>1.1254002748112901</v>
      </c>
    </row>
    <row r="331" spans="2:8" x14ac:dyDescent="0.2">
      <c r="B331" s="177"/>
      <c r="D331" s="406"/>
      <c r="E331" s="405"/>
    </row>
    <row r="332" spans="2:8" x14ac:dyDescent="0.2">
      <c r="B332" s="269" t="s">
        <v>768</v>
      </c>
    </row>
    <row r="333" spans="2:8" x14ac:dyDescent="0.2">
      <c r="B333" s="52" t="s">
        <v>759</v>
      </c>
    </row>
    <row r="335" spans="2:8" x14ac:dyDescent="0.2">
      <c r="B335" t="s">
        <v>754</v>
      </c>
      <c r="C335" t="s">
        <v>81</v>
      </c>
      <c r="D335" s="407">
        <f>D$263/$F$238</f>
        <v>688.57584517735052</v>
      </c>
      <c r="E335" s="406">
        <f>E$263/$F$238</f>
        <v>13.77151690354701</v>
      </c>
      <c r="F335" s="405">
        <f>F$263/$F$238</f>
        <v>1.1476264086289174</v>
      </c>
      <c r="H335" s="28"/>
    </row>
    <row r="336" spans="2:8" x14ac:dyDescent="0.2">
      <c r="B336" s="52"/>
    </row>
    <row r="337" spans="2:8" x14ac:dyDescent="0.2">
      <c r="B337" s="177" t="s">
        <v>230</v>
      </c>
      <c r="C337" t="s">
        <v>81</v>
      </c>
      <c r="D337" s="407">
        <f>D$263/($F$238+$F$257+$F$258)</f>
        <v>653.68278976257125</v>
      </c>
      <c r="E337" s="406">
        <f>E$263/($F$238+$F$257+$F$258)</f>
        <v>13.073655795251426</v>
      </c>
      <c r="F337" s="405">
        <f>F$263/($F$238+$F$257+$F$258)</f>
        <v>1.0894713162709522</v>
      </c>
      <c r="H337" s="28"/>
    </row>
    <row r="338" spans="2:8" x14ac:dyDescent="0.2">
      <c r="B338" s="296"/>
      <c r="H338" s="28"/>
    </row>
    <row r="339" spans="2:8" x14ac:dyDescent="0.2">
      <c r="B339" s="270" t="s">
        <v>760</v>
      </c>
      <c r="C339" t="s">
        <v>81</v>
      </c>
      <c r="D339" s="407">
        <f>D$263/($F$238+$F$257+$F$258+$F$246)</f>
        <v>632.40954231503758</v>
      </c>
      <c r="E339" s="406">
        <f>E$263/($F$238+$F$257+$F$258+$F$246)</f>
        <v>12.648190846300752</v>
      </c>
      <c r="F339" s="405">
        <f>F$263/($F$238+$F$257+$F$258+$F$246)</f>
        <v>1.0540159038583958</v>
      </c>
      <c r="H339" s="28"/>
    </row>
    <row r="340" spans="2:8" x14ac:dyDescent="0.2">
      <c r="B340" s="177"/>
    </row>
    <row r="341" spans="2:8" x14ac:dyDescent="0.2">
      <c r="B341" s="270" t="s">
        <v>761</v>
      </c>
      <c r="C341" t="s">
        <v>81</v>
      </c>
      <c r="D341" s="407">
        <f>D$263/($F$238+$F$257+$F$258+$F$246+$F$254)</f>
        <v>586.59372920910232</v>
      </c>
      <c r="E341" s="406">
        <f>E$263/($F$238+$F$257+$F$258+$F$246+$F$254)</f>
        <v>11.731874584182048</v>
      </c>
      <c r="F341" s="405">
        <f>F$263/($F$238+$F$257+$F$258+$F$246+$F$254)</f>
        <v>0.97765621534850389</v>
      </c>
    </row>
    <row r="342" spans="2:8" x14ac:dyDescent="0.2">
      <c r="B342" s="177"/>
    </row>
    <row r="343" spans="2:8" x14ac:dyDescent="0.2">
      <c r="B343" s="38" t="s">
        <v>762</v>
      </c>
      <c r="C343" t="s">
        <v>81</v>
      </c>
      <c r="D343" s="407">
        <f>D$263/$F$236</f>
        <v>586.59372920910232</v>
      </c>
      <c r="E343" s="406">
        <f>E$263/$F$236</f>
        <v>11.731874584182048</v>
      </c>
      <c r="F343" s="405">
        <f>F$263/$F$236</f>
        <v>0.97765621534850389</v>
      </c>
    </row>
    <row r="345" spans="2:8" x14ac:dyDescent="0.2">
      <c r="B345" s="269" t="s">
        <v>769</v>
      </c>
    </row>
    <row r="346" spans="2:8" x14ac:dyDescent="0.2">
      <c r="B346" s="52" t="s">
        <v>759</v>
      </c>
    </row>
    <row r="348" spans="2:8" x14ac:dyDescent="0.2">
      <c r="B348" t="s">
        <v>754</v>
      </c>
      <c r="C348" t="s">
        <v>81</v>
      </c>
      <c r="D348" s="407">
        <f>(D$263+$P$233)/$F$238</f>
        <v>792.63388625292032</v>
      </c>
      <c r="E348" s="406">
        <f>(E$263+$Q$233)/$F$238</f>
        <v>15.852677725058408</v>
      </c>
      <c r="F348" s="405">
        <f>(F$263+$R$233)/$F$238</f>
        <v>1.3210564770882005</v>
      </c>
      <c r="H348" s="6"/>
    </row>
    <row r="349" spans="2:8" x14ac:dyDescent="0.2">
      <c r="B349" s="52"/>
      <c r="G349" s="212"/>
      <c r="H349" s="212"/>
    </row>
    <row r="350" spans="2:8" ht="17" x14ac:dyDescent="0.2">
      <c r="B350" s="177" t="s">
        <v>230</v>
      </c>
      <c r="C350" t="s">
        <v>81</v>
      </c>
      <c r="D350" s="407">
        <f>(D$263+$P$233)/($F$238+$F$257+$F$258)</f>
        <v>752.46776902652903</v>
      </c>
      <c r="E350" s="406">
        <f>(E$263+$Q$233)/($F$238+$F$257+$F$258)</f>
        <v>15.049355380530582</v>
      </c>
      <c r="F350" s="405">
        <f>(F$263+$R$233)/($F$238+$F$257+$F$258)</f>
        <v>1.2541129483775482</v>
      </c>
      <c r="G350" s="210"/>
      <c r="H350" s="210"/>
    </row>
    <row r="351" spans="2:8" ht="17" x14ac:dyDescent="0.2">
      <c r="B351" s="296"/>
      <c r="G351" s="210"/>
      <c r="H351" s="210"/>
    </row>
    <row r="352" spans="2:8" ht="17" x14ac:dyDescent="0.2">
      <c r="B352" s="270" t="s">
        <v>760</v>
      </c>
      <c r="C352" t="s">
        <v>81</v>
      </c>
      <c r="D352" s="407">
        <f>(D$263+$P$233)/($F$238+$F$257+$F$258+$F$246)</f>
        <v>727.97969423323491</v>
      </c>
      <c r="E352" s="406">
        <f>(E$263+$Q$233)/($F$238+$F$257+$F$258+$F$246)</f>
        <v>14.5595938846647</v>
      </c>
      <c r="F352" s="405">
        <f>(F$263+$R$233)/($F$238+$F$257+$F$258+$F$246)</f>
        <v>1.2132994903887249</v>
      </c>
      <c r="G352" s="210"/>
      <c r="H352" s="210"/>
    </row>
    <row r="353" spans="2:8" ht="17" x14ac:dyDescent="0.2">
      <c r="B353" s="177"/>
      <c r="G353" s="210"/>
      <c r="H353" s="210"/>
    </row>
    <row r="354" spans="2:8" x14ac:dyDescent="0.2">
      <c r="B354" s="270" t="s">
        <v>761</v>
      </c>
      <c r="C354" t="s">
        <v>81</v>
      </c>
      <c r="D354" s="407">
        <f>(D$263+$P$233)/($F$238+$F$257+$F$258+$F$246+$F$254)</f>
        <v>675.24016488677421</v>
      </c>
      <c r="E354" s="406">
        <f>(E$263+$Q$233)/($F$238+$F$257+$F$258+$F$246+$F$254)</f>
        <v>13.504803297735483</v>
      </c>
      <c r="F354" s="405">
        <f>(F$263+$R$233)/($F$238+$F$257+$F$258+$F$246+$F$254)</f>
        <v>1.1254002748112901</v>
      </c>
    </row>
    <row r="355" spans="2:8" x14ac:dyDescent="0.2">
      <c r="B355" s="177"/>
    </row>
    <row r="356" spans="2:8" x14ac:dyDescent="0.2">
      <c r="B356" s="38" t="s">
        <v>762</v>
      </c>
      <c r="C356" t="s">
        <v>81</v>
      </c>
      <c r="D356" s="407">
        <f>(D$263+$P$233)/$F$236</f>
        <v>675.24016488677421</v>
      </c>
      <c r="E356" s="406">
        <f>(E$263+$Q$233)/$F$236</f>
        <v>13.504803297735483</v>
      </c>
      <c r="F356" s="405">
        <f>(F$263+$R$233)/$F$236</f>
        <v>1.1254002748112901</v>
      </c>
    </row>
    <row r="358" spans="2:8" x14ac:dyDescent="0.2">
      <c r="B358" s="269" t="s">
        <v>974</v>
      </c>
    </row>
    <row r="359" spans="2:8" x14ac:dyDescent="0.2">
      <c r="B359" s="296"/>
      <c r="H359" s="28"/>
    </row>
    <row r="360" spans="2:8" x14ac:dyDescent="0.2">
      <c r="B360" t="s">
        <v>973</v>
      </c>
      <c r="C360" t="s">
        <v>124</v>
      </c>
      <c r="D360" s="294">
        <f>D263+P233</f>
        <v>466027.22365900333</v>
      </c>
      <c r="E360" s="294">
        <f t="shared" ref="E360:F360" si="27">E263+Q233</f>
        <v>9320.5444731800671</v>
      </c>
      <c r="F360" s="294">
        <f t="shared" si="27"/>
        <v>776.71203943167211</v>
      </c>
      <c r="H360" s="28"/>
    </row>
    <row r="361" spans="2:8" x14ac:dyDescent="0.2">
      <c r="H361" s="28"/>
    </row>
    <row r="362" spans="2:8" x14ac:dyDescent="0.2">
      <c r="B362" s="52"/>
    </row>
    <row r="365" spans="2:8" x14ac:dyDescent="0.2">
      <c r="B365" s="52"/>
      <c r="C365" s="52"/>
    </row>
    <row r="367" spans="2:8" x14ac:dyDescent="0.2">
      <c r="B367" s="297"/>
    </row>
    <row r="368" spans="2:8" x14ac:dyDescent="0.2">
      <c r="B368" s="295"/>
    </row>
    <row r="370" spans="2:3" x14ac:dyDescent="0.2">
      <c r="B370" s="296"/>
    </row>
    <row r="373" spans="2:3" x14ac:dyDescent="0.2">
      <c r="B373" s="52"/>
    </row>
    <row r="376" spans="2:3" x14ac:dyDescent="0.2">
      <c r="B376" s="52"/>
      <c r="C376" s="52"/>
    </row>
  </sheetData>
  <mergeCells count="8">
    <mergeCell ref="C87:D87"/>
    <mergeCell ref="E87:F87"/>
    <mergeCell ref="C32:D32"/>
    <mergeCell ref="E32:F32"/>
    <mergeCell ref="C41:D41"/>
    <mergeCell ref="E41:F41"/>
    <mergeCell ref="C83:D83"/>
    <mergeCell ref="E83:F83"/>
  </mergeCells>
  <conditionalFormatting sqref="D136">
    <cfRule type="cellIs" dxfId="49" priority="8" operator="equal">
      <formula>$C$136</formula>
    </cfRule>
    <cfRule type="cellIs" dxfId="48" priority="9" operator="greaterThan">
      <formula>$C$136</formula>
    </cfRule>
    <cfRule type="cellIs" dxfId="47" priority="29" operator="lessThan">
      <formula>$C$136</formula>
    </cfRule>
  </conditionalFormatting>
  <conditionalFormatting sqref="N160:R173">
    <cfRule type="expression" dxfId="46" priority="47">
      <formula>$O$158="Nee"</formula>
    </cfRule>
  </conditionalFormatting>
  <conditionalFormatting sqref="N176:R186 N175 P175:R175">
    <cfRule type="expression" dxfId="45" priority="46">
      <formula>$O$175="Nee"</formula>
    </cfRule>
  </conditionalFormatting>
  <conditionalFormatting sqref="N189:R199 N188 P188:R188">
    <cfRule type="expression" dxfId="44" priority="45">
      <formula>$O$188="Nee"</formula>
    </cfRule>
  </conditionalFormatting>
  <conditionalFormatting sqref="Y155">
    <cfRule type="cellIs" dxfId="43" priority="48" operator="greaterThan">
      <formula>$O$165</formula>
    </cfRule>
  </conditionalFormatting>
  <conditionalFormatting sqref="K155">
    <cfRule type="cellIs" dxfId="42" priority="42" operator="greaterThan">
      <formula>$K$136</formula>
    </cfRule>
    <cfRule type="cellIs" dxfId="41" priority="43" operator="equal">
      <formula>$K$136</formula>
    </cfRule>
    <cfRule type="cellIs" dxfId="40" priority="44" operator="lessThan">
      <formula>$K$136</formula>
    </cfRule>
  </conditionalFormatting>
  <conditionalFormatting sqref="H160:L173">
    <cfRule type="expression" dxfId="39" priority="41">
      <formula>$I$158="Nee"</formula>
    </cfRule>
  </conditionalFormatting>
  <conditionalFormatting sqref="H176:L186 H175 J175:L175">
    <cfRule type="expression" dxfId="38" priority="40">
      <formula>$I$175="Nee"</formula>
    </cfRule>
  </conditionalFormatting>
  <conditionalFormatting sqref="H189:L199 H188 J188:L188">
    <cfRule type="expression" dxfId="37" priority="39">
      <formula>$I$188="Nee"</formula>
    </cfRule>
  </conditionalFormatting>
  <conditionalFormatting sqref="T160:X173">
    <cfRule type="expression" dxfId="36" priority="38">
      <formula>$U$158="Nee"</formula>
    </cfRule>
  </conditionalFormatting>
  <conditionalFormatting sqref="T176:X186 T175 V175:X175">
    <cfRule type="expression" dxfId="35" priority="37">
      <formula>$U$175="Nee"</formula>
    </cfRule>
  </conditionalFormatting>
  <conditionalFormatting sqref="T189:X199 T188 V188:X188">
    <cfRule type="expression" dxfId="34" priority="36">
      <formula>$U$188="Nee"</formula>
    </cfRule>
  </conditionalFormatting>
  <conditionalFormatting sqref="Z160:AD173">
    <cfRule type="expression" dxfId="33" priority="35">
      <formula>$AA$158="Nee"</formula>
    </cfRule>
  </conditionalFormatting>
  <conditionalFormatting sqref="Z176:AD186 Z175 AB175:AD175">
    <cfRule type="expression" dxfId="32" priority="34">
      <formula>$AA$175="Nee"</formula>
    </cfRule>
  </conditionalFormatting>
  <conditionalFormatting sqref="Z189:AD199 Z188 AB188:AD188">
    <cfRule type="expression" dxfId="31" priority="33">
      <formula>$AA$188="Nee"</formula>
    </cfRule>
  </conditionalFormatting>
  <conditionalFormatting sqref="AF160:AJ173">
    <cfRule type="expression" dxfId="30" priority="32">
      <formula>$AG$158="Nee"</formula>
    </cfRule>
  </conditionalFormatting>
  <conditionalFormatting sqref="AF176:AJ186 AF175 AH175:AJ175">
    <cfRule type="expression" dxfId="29" priority="31">
      <formula>$AG$175="Nee"</formula>
    </cfRule>
  </conditionalFormatting>
  <conditionalFormatting sqref="AF189:AJ199 AF188 AH188:AJ188">
    <cfRule type="expression" dxfId="28" priority="30">
      <formula>$AG$188="Nee"</formula>
    </cfRule>
  </conditionalFormatting>
  <conditionalFormatting sqref="N83:N127 P83:R127 O85:O127">
    <cfRule type="expression" dxfId="27" priority="28">
      <formula>$O$83="Nee"</formula>
    </cfRule>
  </conditionalFormatting>
  <conditionalFormatting sqref="J197">
    <cfRule type="expression" dxfId="26" priority="25">
      <formula>$I$188="Nee"</formula>
    </cfRule>
  </conditionalFormatting>
  <conditionalFormatting sqref="K197">
    <cfRule type="expression" dxfId="25" priority="24">
      <formula>$I$175="Nee"</formula>
    </cfRule>
  </conditionalFormatting>
  <conditionalFormatting sqref="D137">
    <cfRule type="cellIs" dxfId="24" priority="6" operator="equal">
      <formula>$C$137</formula>
    </cfRule>
    <cfRule type="cellIs" dxfId="23" priority="7" operator="lessThan">
      <formula>$C$137</formula>
    </cfRule>
    <cfRule type="cellIs" dxfId="22" priority="23" operator="greaterThan">
      <formula>$C$137</formula>
    </cfRule>
  </conditionalFormatting>
  <conditionalFormatting sqref="D135">
    <cfRule type="cellIs" dxfId="21" priority="10" operator="lessThan">
      <formula>$C$135</formula>
    </cfRule>
    <cfRule type="cellIs" dxfId="20" priority="49" operator="greaterThan">
      <formula>$C$135</formula>
    </cfRule>
    <cfRule type="cellIs" dxfId="19" priority="50" operator="equal">
      <formula>$C$135</formula>
    </cfRule>
  </conditionalFormatting>
  <conditionalFormatting sqref="Q155">
    <cfRule type="cellIs" dxfId="18" priority="20" operator="greaterThan">
      <formula>$Q$136</formula>
    </cfRule>
    <cfRule type="cellIs" dxfId="17" priority="21" operator="equal">
      <formula>$Q$136</formula>
    </cfRule>
    <cfRule type="cellIs" dxfId="16" priority="22" operator="lessThan">
      <formula>$Q$136</formula>
    </cfRule>
  </conditionalFormatting>
  <conditionalFormatting sqref="W155">
    <cfRule type="cellIs" dxfId="15" priority="17" operator="greaterThan">
      <formula>$W$136</formula>
    </cfRule>
    <cfRule type="cellIs" dxfId="14" priority="18" operator="equal">
      <formula>$W$136</formula>
    </cfRule>
    <cfRule type="cellIs" dxfId="13" priority="19" operator="lessThan">
      <formula>$W$136</formula>
    </cfRule>
  </conditionalFormatting>
  <conditionalFormatting sqref="AC155">
    <cfRule type="cellIs" dxfId="12" priority="14" operator="greaterThan">
      <formula>$AC$136</formula>
    </cfRule>
    <cfRule type="cellIs" dxfId="11" priority="15" operator="equal">
      <formula>$AC$136</formula>
    </cfRule>
    <cfRule type="cellIs" dxfId="10" priority="16" operator="lessThan">
      <formula>$AC$136</formula>
    </cfRule>
  </conditionalFormatting>
  <conditionalFormatting sqref="AI155">
    <cfRule type="cellIs" dxfId="9" priority="11" operator="greaterThan">
      <formula>$AI$136</formula>
    </cfRule>
    <cfRule type="cellIs" dxfId="8" priority="12" operator="equal">
      <formula>$AI$136</formula>
    </cfRule>
    <cfRule type="cellIs" dxfId="7" priority="13" operator="lessThan">
      <formula>$AI$136</formula>
    </cfRule>
  </conditionalFormatting>
  <conditionalFormatting sqref="H128:L128">
    <cfRule type="expression" dxfId="6" priority="4">
      <formula>$O$83="Nee"</formula>
    </cfRule>
  </conditionalFormatting>
  <conditionalFormatting sqref="N128:R128">
    <cfRule type="expression" dxfId="5" priority="3">
      <formula>$O$83="Nee"</formula>
    </cfRule>
  </conditionalFormatting>
  <conditionalFormatting sqref="H8:L26">
    <cfRule type="expression" dxfId="4" priority="2">
      <formula>$C$18="Vaste waarden"</formula>
    </cfRule>
  </conditionalFormatting>
  <conditionalFormatting sqref="B21:F24">
    <cfRule type="expression" dxfId="3" priority="1">
      <formula>$C$18="Berekend"</formula>
    </cfRule>
  </conditionalFormatting>
  <dataValidations disablePrompts="1" count="1">
    <dataValidation type="list" allowBlank="1" showInputMessage="1" showErrorMessage="1" sqref="C18" xr:uid="{443B7175-0270-AD4D-A64F-87D0C30E6C6B}">
      <formula1>"Berekend, Vaste waarden"</formula1>
    </dataValidation>
  </dataValidations>
  <pageMargins left="0.7" right="0.7" top="0.75" bottom="0.75" header="0.3" footer="0.3"/>
  <pageSetup paperSize="9" orientation="portrait" horizontalDpi="0" verticalDpi="0"/>
  <ignoredErrors>
    <ignoredError sqref="Q72" formula="1"/>
  </ignoredErrors>
  <extLst>
    <ext xmlns:x14="http://schemas.microsoft.com/office/spreadsheetml/2009/9/main" uri="{78C0D931-6437-407d-A8EE-F0AAD7539E65}">
      <x14:conditionalFormattings>
        <x14:conditionalFormatting xmlns:xm="http://schemas.microsoft.com/office/excel/2006/main">
          <x14:cfRule type="expression" priority="27" id="{498D90E0-5987-6644-A118-A7D891F8D28E}">
            <xm:f>$H$33='DATA - Variabelen &amp; waarden'!$B$55</xm:f>
            <x14:dxf>
              <font>
                <u val="none"/>
                <color theme="0" tint="-0.34998626667073579"/>
              </font>
              <fill>
                <patternFill>
                  <bgColor theme="0" tint="-4.9989318521683403E-2"/>
                </patternFill>
              </fill>
            </x14:dxf>
          </x14:cfRule>
          <xm:sqref>H35:L35 I36:L37</xm:sqref>
        </x14:conditionalFormatting>
        <x14:conditionalFormatting xmlns:xm="http://schemas.microsoft.com/office/excel/2006/main">
          <x14:cfRule type="expression" priority="26" id="{1B499264-E33A-B543-B796-EC5E02F97EB5}">
            <xm:f>$H$33='DATA - Variabelen &amp; waarden'!$B$54</xm:f>
            <x14:dxf>
              <font>
                <color theme="0" tint="-0.34998626667073579"/>
              </font>
              <fill>
                <patternFill>
                  <bgColor theme="0" tint="-4.9989318521683403E-2"/>
                </patternFill>
              </fill>
            </x14:dxf>
          </x14:cfRule>
          <xm:sqref>H38:L45</xm:sqref>
        </x14:conditionalFormatting>
        <x14:conditionalFormatting xmlns:xm="http://schemas.microsoft.com/office/excel/2006/main">
          <x14:cfRule type="expression" priority="5" id="{8F4DB9A2-7E5F-684D-B8AC-04C4463EE4BB}">
            <xm:f>$H$33='DATA - Variabelen &amp; waarden'!$B$55</xm:f>
            <x14:dxf>
              <font>
                <u val="none"/>
                <color theme="0" tint="-0.34998626667073579"/>
              </font>
              <fill>
                <patternFill>
                  <bgColor theme="0" tint="-4.9989318521683403E-2"/>
                </patternFill>
              </fill>
            </x14:dxf>
          </x14:cfRule>
          <xm:sqref>H36</xm:sqref>
        </x14:conditionalFormatting>
      </x14:conditionalFormattings>
    </ext>
    <ext xmlns:x14="http://schemas.microsoft.com/office/spreadsheetml/2009/9/main" uri="{CCE6A557-97BC-4b89-ADB6-D9C93CAAB3DF}">
      <x14:dataValidations xmlns:xm="http://schemas.microsoft.com/office/excel/2006/main" disablePrompts="1" count="53">
        <x14:dataValidation type="list" allowBlank="1" showInputMessage="1" showErrorMessage="1" xr:uid="{9B5FC23B-E6D1-8D46-93DD-0B1281E74871}">
          <x14:formula1>
            <xm:f>'DATA - Variabelen &amp; waarden'!$B$348:$B$362</xm:f>
          </x14:formula1>
          <xm:sqref>N182 AF195 AF182 Z195 Z182 T195 T182 H195 H182 N195</xm:sqref>
        </x14:dataValidation>
        <x14:dataValidation type="list" allowBlank="1" showInputMessage="1" showErrorMessage="1" xr:uid="{C02FDD52-4A14-C848-B504-FB6235DF73F4}">
          <x14:formula1>
            <xm:f>'DATA - Variabelen &amp; waarden'!$B$267:$B$271</xm:f>
          </x14:formula1>
          <xm:sqref>H123</xm:sqref>
        </x14:dataValidation>
        <x14:dataValidation type="list" allowBlank="1" showInputMessage="1" showErrorMessage="1" xr:uid="{F164B9CD-C383-3D4B-8127-A160F23684DE}">
          <x14:formula1>
            <xm:f>'DATA - Variabelen &amp; waarden'!$D$420:$G$420</xm:f>
          </x14:formula1>
          <xm:sqref>O222</xm:sqref>
        </x14:dataValidation>
        <x14:dataValidation type="list" allowBlank="1" showInputMessage="1" showErrorMessage="1" xr:uid="{08126869-E77B-4D49-8D38-A8AEA9253DC6}">
          <x14:formula1>
            <xm:f>'DATA - Variabelen &amp; waarden'!$B$255:$B$259</xm:f>
          </x14:formula1>
          <xm:sqref>H121</xm:sqref>
        </x14:dataValidation>
        <x14:dataValidation type="list" allowBlank="1" showInputMessage="1" showErrorMessage="1" xr:uid="{9F6C447D-12F8-8449-84B0-19E0111B3FAA}">
          <x14:formula1>
            <xm:f>'DATA - Variabelen &amp; waarden'!$D$399:$G$399</xm:f>
          </x14:formula1>
          <xm:sqref>I213:I216</xm:sqref>
        </x14:dataValidation>
        <x14:dataValidation type="list" allowBlank="1" showInputMessage="1" showErrorMessage="1" xr:uid="{D83B8EA1-8947-954D-8325-A1D5DEF25645}">
          <x14:formula1>
            <xm:f>'DATA - Variabelen &amp; waarden'!$D$214:$G$214</xm:f>
          </x14:formula1>
          <xm:sqref>I114 I117</xm:sqref>
        </x14:dataValidation>
        <x14:dataValidation type="list" allowBlank="1" showInputMessage="1" showErrorMessage="1" xr:uid="{393DBDA3-42EF-AE49-BD00-1061649D34EA}">
          <x14:formula1>
            <xm:f>'DATA - Variabelen &amp; waarden'!$D$189:$G$189</xm:f>
          </x14:formula1>
          <xm:sqref>I97 I100</xm:sqref>
        </x14:dataValidation>
        <x14:dataValidation type="list" allowBlank="1" showInputMessage="1" showErrorMessage="1" xr:uid="{8F437AA0-B81B-0440-9640-E3808D6B4A87}">
          <x14:formula1>
            <xm:f>'DATA - Variabelen &amp; waarden'!$B$23:$B$36</xm:f>
          </x14:formula1>
          <xm:sqref>B11:B12</xm:sqref>
        </x14:dataValidation>
        <x14:dataValidation type="list" allowBlank="1" showInputMessage="1" showErrorMessage="1" xr:uid="{95AD2BF7-5241-0740-BF37-62246F1E037E}">
          <x14:formula1>
            <xm:f>'DATA - Variabelen &amp; waarden'!$B$389:$B$394</xm:f>
          </x14:formula1>
          <xm:sqref>B213:B217</xm:sqref>
        </x14:dataValidation>
        <x14:dataValidation type="list" allowBlank="1" showInputMessage="1" showErrorMessage="1" xr:uid="{1C3C2D31-670D-924E-9672-9B4C509B0475}">
          <x14:formula1>
            <xm:f>'DATA - Variabelen &amp; waarden'!$D$396:$G$396</xm:f>
          </x14:formula1>
          <xm:sqref>C222</xm:sqref>
        </x14:dataValidation>
        <x14:dataValidation type="list" allowBlank="1" showInputMessage="1" showErrorMessage="1" xr:uid="{802E2469-D7FF-2441-921B-3D66B91790E6}">
          <x14:formula1>
            <xm:f>'DATA - Variabelen &amp; waarden'!$B$39:$B$42</xm:f>
          </x14:formula1>
          <xm:sqref>H12 H19</xm:sqref>
        </x14:dataValidation>
        <x14:dataValidation type="list" allowBlank="1" showInputMessage="1" showErrorMessage="1" xr:uid="{CECCD05C-8D39-2340-8498-7137481BEB3B}">
          <x14:formula1>
            <xm:f>'DATA - Variabelen &amp; waarden'!$D$381:$G$381</xm:f>
          </x14:formula1>
          <xm:sqref>O92 AG157 AA157 U157 O157 I157</xm:sqref>
        </x14:dataValidation>
        <x14:dataValidation type="list" allowBlank="1" showInputMessage="1" showErrorMessage="1" xr:uid="{53BCB7ED-0A20-E047-B4F5-D5B58F69FE2D}">
          <x14:formula1>
            <xm:f>'DATA - Variabelen &amp; waarden'!$B$232:$B$237</xm:f>
          </x14:formula1>
          <xm:sqref>H104</xm:sqref>
        </x14:dataValidation>
        <x14:dataValidation type="list" allowBlank="1" showInputMessage="1" showErrorMessage="1" xr:uid="{B730A3E4-1D71-E94A-9E02-805B0F96E5FC}">
          <x14:formula1>
            <xm:f>'DATA - Variabelen &amp; waarden'!$B$326:$B$327</xm:f>
          </x14:formula1>
          <xm:sqref>O158 O175 O188 I158 I175 I188 U158 U175 U188 AA158 AA175 AA188 AG158 AG175 AG188 O83</xm:sqref>
        </x14:dataValidation>
        <x14:dataValidation type="list" allowBlank="1" showInputMessage="1" showErrorMessage="1" xr:uid="{EDC92BE1-2DE5-9949-86B4-A4AB551D60E3}">
          <x14:formula1>
            <xm:f>'DATA - Variabelen &amp; waarden'!$D$273:$G$273</xm:f>
          </x14:formula1>
          <xm:sqref>O87 AG155 AA155 U155 I155 O155 O89</xm:sqref>
        </x14:dataValidation>
        <x14:dataValidation type="list" allowBlank="1" showInputMessage="1" showErrorMessage="1" xr:uid="{1D13DCDF-79A9-DA45-A455-26ACCCCE5014}">
          <x14:formula1>
            <xm:f>'DATA - Variabelen &amp; waarden'!$D$261:$G$261</xm:f>
          </x14:formula1>
          <xm:sqref>I125</xm:sqref>
        </x14:dataValidation>
        <x14:dataValidation type="list" allowBlank="1" showInputMessage="1" showErrorMessage="1" xr:uid="{02C6FDFF-593B-CC43-84CD-B3F656284340}">
          <x14:formula1>
            <xm:f>'DATA - Variabelen &amp; waarden'!$B$262:$B$264</xm:f>
          </x14:formula1>
          <xm:sqref>H125</xm:sqref>
        </x14:dataValidation>
        <x14:dataValidation type="list" allowBlank="1" showInputMessage="1" showErrorMessage="1" xr:uid="{B0FE5BE4-8B01-B34D-B470-6E1D235D03A2}">
          <x14:formula1>
            <xm:f>'DATA - Variabelen &amp; waarden'!$D$248:$G$248</xm:f>
          </x14:formula1>
          <xm:sqref>I108</xm:sqref>
        </x14:dataValidation>
        <x14:dataValidation type="list" allowBlank="1" showInputMessage="1" showErrorMessage="1" xr:uid="{B4A0EBD9-6485-5C42-947E-CCB10540E927}">
          <x14:formula1>
            <xm:f>'DATA - Variabelen &amp; waarden'!$B$249:$B$252</xm:f>
          </x14:formula1>
          <xm:sqref>H108</xm:sqref>
        </x14:dataValidation>
        <x14:dataValidation type="list" allowBlank="1" showInputMessage="1" showErrorMessage="1" xr:uid="{0E1F9217-3939-1848-8DE3-07D9398D937A}">
          <x14:formula1>
            <xm:f>'DATA - Variabelen &amp; waarden'!$B$240:$B$246</xm:f>
          </x14:formula1>
          <xm:sqref>H106</xm:sqref>
        </x14:dataValidation>
        <x14:dataValidation type="list" allowBlank="1" showInputMessage="1" showErrorMessage="1" xr:uid="{1A392CC1-98BB-2B4F-A414-CF4DA2A31C3C}">
          <x14:formula1>
            <xm:f>'DATA - Variabelen &amp; waarden'!$D$239:$G$239</xm:f>
          </x14:formula1>
          <xm:sqref>I106</xm:sqref>
        </x14:dataValidation>
        <x14:dataValidation type="list" allowBlank="1" showInputMessage="1" showErrorMessage="1" xr:uid="{E3595722-B8BE-B048-8344-3484C3CA8A89}">
          <x14:formula1>
            <xm:f>'DATA - Variabelen &amp; waarden'!$D$231:$G$231</xm:f>
          </x14:formula1>
          <xm:sqref>I104</xm:sqref>
        </x14:dataValidation>
        <x14:dataValidation type="list" allowBlank="1" showInputMessage="1" showErrorMessage="1" xr:uid="{2681FF88-D8AA-A541-8216-96D45ABFBE0D}">
          <x14:formula1>
            <xm:f>'DATA - Variabelen &amp; waarden'!$B$158:$B$159</xm:f>
          </x14:formula1>
          <xm:sqref>H83</xm:sqref>
        </x14:dataValidation>
        <x14:dataValidation type="list" allowBlank="1" showInputMessage="1" showErrorMessage="1" xr:uid="{ADB2C248-B5BB-0C4A-8ECC-58288AB9479F}">
          <x14:formula1>
            <xm:f>'DATA - Variabelen &amp; waarden'!$B$54:$B$55</xm:f>
          </x14:formula1>
          <xm:sqref>H33</xm:sqref>
        </x14:dataValidation>
        <x14:dataValidation type="list" allowBlank="1" showInputMessage="1" showErrorMessage="1" xr:uid="{47395675-4790-DB45-BFB1-A184CDD6C985}">
          <x14:formula1>
            <xm:f>'DATA - Variabelen &amp; waarden'!$D$53:$G$53</xm:f>
          </x14:formula1>
          <xm:sqref>I39:I42</xm:sqref>
        </x14:dataValidation>
        <x14:dataValidation type="list" allowBlank="1" showInputMessage="1" showErrorMessage="1" xr:uid="{8237B898-41CE-3A44-90E8-2E55BD614C12}">
          <x14:formula1>
            <xm:f>'DATA - Variabelen &amp; waarden'!$D$77:$G$77</xm:f>
          </x14:formula1>
          <xm:sqref>I48:I49 I51:I52 I60:I64 I54:I55 I57:I58</xm:sqref>
        </x14:dataValidation>
        <x14:dataValidation type="list" allowBlank="1" showInputMessage="1" showErrorMessage="1" xr:uid="{4AE1665C-B34F-C340-B1F0-98B004746BD7}">
          <x14:formula1>
            <xm:f>'DATA - Variabelen &amp; waarden'!$D$96:$G$96</xm:f>
          </x14:formula1>
          <xm:sqref>I67:I69 I75:I76 I71:I73</xm:sqref>
        </x14:dataValidation>
        <x14:dataValidation type="list" allowBlank="1" showInputMessage="1" showErrorMessage="1" xr:uid="{71E85A69-86D0-704C-B52E-78EF45441C1F}">
          <x14:formula1>
            <xm:f>'DATA - Variabelen &amp; waarden'!$D$111:$G$111</xm:f>
          </x14:formula1>
          <xm:sqref>O41:O44 O46:O47 O33:O36 O38:O39</xm:sqref>
        </x14:dataValidation>
        <x14:dataValidation type="list" allowBlank="1" showInputMessage="1" showErrorMessage="1" xr:uid="{39C9C782-73AB-E24A-AB80-E6C889DC54C6}">
          <x14:formula1>
            <xm:f>'DATA - Variabelen &amp; waarden'!$D$129:$G$129</xm:f>
          </x14:formula1>
          <xm:sqref>O51:O53</xm:sqref>
        </x14:dataValidation>
        <x14:dataValidation type="list" allowBlank="1" showInputMessage="1" showErrorMessage="1" xr:uid="{92A2C82F-DA4B-984C-A930-C5A6F0DE6EDE}">
          <x14:formula1>
            <xm:f>'DATA - Variabelen &amp; waarden'!$D$134:$G$134</xm:f>
          </x14:formula1>
          <xm:sqref>O56:O57</xm:sqref>
        </x14:dataValidation>
        <x14:dataValidation type="list" allowBlank="1" showInputMessage="1" showErrorMessage="1" xr:uid="{EB53708B-61BA-F04E-A565-14616D3FA44F}">
          <x14:formula1>
            <xm:f>'DATA - Variabelen &amp; waarden'!$D$138:$G$138</xm:f>
          </x14:formula1>
          <xm:sqref>O60:O66</xm:sqref>
        </x14:dataValidation>
        <x14:dataValidation type="list" allowBlank="1" showInputMessage="1" showErrorMessage="1" xr:uid="{73CF552E-7003-FF4D-A1A8-47E5DA435523}">
          <x14:formula1>
            <xm:f>'DATA - Variabelen &amp; waarden'!$D$147:$G$147</xm:f>
          </x14:formula1>
          <xm:sqref>O69:O70 O72</xm:sqref>
        </x14:dataValidation>
        <x14:dataValidation type="list" allowBlank="1" showInputMessage="1" showErrorMessage="1" xr:uid="{24343862-BD2B-FF49-8C2B-639F831B0200}">
          <x14:formula1>
            <xm:f>'DATA - Variabelen &amp; waarden'!$B$179:$B$187</xm:f>
          </x14:formula1>
          <xm:sqref>H96</xm:sqref>
        </x14:dataValidation>
        <x14:dataValidation type="list" allowBlank="1" showInputMessage="1" showErrorMessage="1" xr:uid="{E19F4201-E822-3C4E-87F3-AAE893487A56}">
          <x14:formula1>
            <xm:f>'DATA - Variabelen &amp; waarden'!$D$161:$G$161</xm:f>
          </x14:formula1>
          <xm:sqref>I86 I88:I89</xm:sqref>
        </x14:dataValidation>
        <x14:dataValidation type="list" allowBlank="1" showInputMessage="1" showErrorMessage="1" xr:uid="{1E29C7AC-9BF6-A045-8BF7-1CEF9DD0317C}">
          <x14:formula1>
            <xm:f>'DATA - Variabelen &amp; waarden'!$D$178:$G$178</xm:f>
          </x14:formula1>
          <xm:sqref>I96</xm:sqref>
        </x14:dataValidation>
        <x14:dataValidation type="list" allowBlank="1" showInputMessage="1" showErrorMessage="1" xr:uid="{2A49C4CD-7703-8B42-878D-D99525260819}">
          <x14:formula1>
            <xm:f>'DATA - Variabelen &amp; waarden'!$D$200:$G$200</xm:f>
          </x14:formula1>
          <xm:sqref>I99</xm:sqref>
        </x14:dataValidation>
        <x14:dataValidation type="list" allowBlank="1" showInputMessage="1" showErrorMessage="1" xr:uid="{56FDDECB-ECE6-F244-876D-83E1DF9673AA}">
          <x14:formula1>
            <xm:f>'DATA - Variabelen &amp; waarden'!$B$207:$B$212</xm:f>
          </x14:formula1>
          <xm:sqref>H113</xm:sqref>
        </x14:dataValidation>
        <x14:dataValidation type="list" allowBlank="1" showInputMessage="1" showErrorMessage="1" xr:uid="{AEBE939F-C627-2F4D-9462-78D404CAB368}">
          <x14:formula1>
            <xm:f>'DATA - Variabelen &amp; waarden'!$D$206:$G$206</xm:f>
          </x14:formula1>
          <xm:sqref>I113</xm:sqref>
        </x14:dataValidation>
        <x14:dataValidation type="list" allowBlank="1" showInputMessage="1" showErrorMessage="1" xr:uid="{14574404-C6E1-5D42-8785-C4D34C7F7716}">
          <x14:formula1>
            <xm:f>'DATA - Variabelen &amp; waarden'!$D$222:$G$222</xm:f>
          </x14:formula1>
          <xm:sqref>I116</xm:sqref>
        </x14:dataValidation>
        <x14:dataValidation type="list" allowBlank="1" showInputMessage="1" showErrorMessage="1" xr:uid="{19159E0E-B2E0-A54E-889D-F2BA488081D0}">
          <x14:formula1>
            <xm:f>'DATA - Variabelen &amp; waarden'!$D$254:$G$254</xm:f>
          </x14:formula1>
          <xm:sqref>I121</xm:sqref>
        </x14:dataValidation>
        <x14:dataValidation type="list" allowBlank="1" showInputMessage="1" showErrorMessage="1" xr:uid="{A3DEDBC0-C3E4-DA48-BB1A-A17E6FD02ED5}">
          <x14:formula1>
            <xm:f>'DATA - Variabelen &amp; waarden'!$D$266:$G$266</xm:f>
          </x14:formula1>
          <xm:sqref>I123</xm:sqref>
        </x14:dataValidation>
        <x14:dataValidation type="list" allowBlank="1" showInputMessage="1" showErrorMessage="1" xr:uid="{59A5D000-2CE1-F544-8D98-D555A39CB6F9}">
          <x14:formula1>
            <xm:f>'DATA - Variabelen &amp; waarden'!$D$280:$G$280</xm:f>
          </x14:formula1>
          <xm:sqref>O141 I141 U141 AA141 AG141</xm:sqref>
        </x14:dataValidation>
        <x14:dataValidation type="list" allowBlank="1" showInputMessage="1" showErrorMessage="1" xr:uid="{834579C6-5D2D-5741-B18F-96B0A7CCA0F6}">
          <x14:formula1>
            <xm:f>'DATA - Variabelen &amp; waarden'!$D$388:$G$388</xm:f>
          </x14:formula1>
          <xm:sqref>C213:C217</xm:sqref>
        </x14:dataValidation>
        <x14:dataValidation type="list" allowBlank="1" showInputMessage="1" showErrorMessage="1" xr:uid="{5321B826-C3F9-4F43-BBCD-257DB8CBBF6D}">
          <x14:formula1>
            <xm:f>'DATA - Variabelen &amp; waarden'!$B$409:$B$418</xm:f>
          </x14:formula1>
          <xm:sqref>N213:N217</xm:sqref>
        </x14:dataValidation>
        <x14:dataValidation type="list" allowBlank="1" showInputMessage="1" showErrorMessage="1" xr:uid="{957C788C-08E5-EF4F-AA56-C5BEF5AE8CBE}">
          <x14:formula1>
            <xm:f>'DATA - Variabelen &amp; waarden'!$D$408:$G$408</xm:f>
          </x14:formula1>
          <xm:sqref>O213:O217</xm:sqref>
        </x14:dataValidation>
        <x14:dataValidation type="list" allowBlank="1" showInputMessage="1" showErrorMessage="1" xr:uid="{AAD846DD-E416-4744-8959-34D91AD9E9AE}">
          <x14:formula1>
            <xm:f>'DATA - Variabelen &amp; waarden'!$D$364:$G$364</xm:f>
          </x14:formula1>
          <xm:sqref>O183 O196 I183 I196 U183 U196 AA183 AA196 AG183 AG196</xm:sqref>
        </x14:dataValidation>
        <x14:dataValidation type="list" allowBlank="1" showInputMessage="1" showErrorMessage="1" xr:uid="{17871551-4765-D449-A512-2DB06EBBAA00}">
          <x14:formula1>
            <xm:f>'DATA - Variabelen &amp; waarden'!$D$347:$G$347</xm:f>
          </x14:formula1>
          <xm:sqref>O182 O195 I182 I195 U182 U195 AA182 AA195 AG182 AG195</xm:sqref>
        </x14:dataValidation>
        <x14:dataValidation type="list" allowBlank="1" showInputMessage="1" showErrorMessage="1" xr:uid="{9127F78E-12BD-6F4C-B623-7531D81A6AB8}">
          <x14:formula1>
            <xm:f>'DATA - Variabelen &amp; waarden'!$D$338:$G$338</xm:f>
          </x14:formula1>
          <xm:sqref>O105 O170 I170 U170 AA170 AG170</xm:sqref>
        </x14:dataValidation>
        <x14:dataValidation type="list" allowBlank="1" showInputMessage="1" showErrorMessage="1" xr:uid="{088BAE46-3E8D-3241-9D45-5F68A13940FA}">
          <x14:formula1>
            <xm:f>'DATA - Variabelen &amp; waarden'!$D$329:$G$329</xm:f>
          </x14:formula1>
          <xm:sqref>O104 O169 I169 U169 AA169 AG169</xm:sqref>
        </x14:dataValidation>
        <x14:dataValidation type="list" allowBlank="1" showInputMessage="1" showErrorMessage="1" xr:uid="{764BDD59-9BDF-0D4D-861C-7425D3D621C5}">
          <x14:formula1>
            <xm:f>'DATA - Variabelen &amp; waarden'!$B$330:$B$336</xm:f>
          </x14:formula1>
          <xm:sqref>H169 N104 N169 T169 Z169 AF169</xm:sqref>
        </x14:dataValidation>
        <x14:dataValidation type="list" allowBlank="1" showInputMessage="1" showErrorMessage="1" xr:uid="{6AA32C88-A62B-4D45-88EB-C34C3B6C30B9}">
          <x14:formula1>
            <xm:f>'DATA - Variabelen &amp; waarden'!$D$320:$G$320</xm:f>
          </x14:formula1>
          <xm:sqref>O166 O179 O96 O100 O192 O205 I166 I179 I192 I205 U166 U179 U192 U205 AA166 AA179 AA192 AA205 AG166 AG179 AG192 AG205</xm:sqref>
        </x14:dataValidation>
        <x14:dataValidation type="list" allowBlank="1" showInputMessage="1" showErrorMessage="1" xr:uid="{CEEDAAAD-67AC-CB49-97CF-C23D4D09DB9C}">
          <x14:formula1>
            <xm:f>'DATA - Variabelen &amp; waarden'!$B$321:$B$323</xm:f>
          </x14:formula1>
          <xm:sqref>N192 N205 H166 H179 H192 H205 N96 N100 N166 N179 T192 T205 T166 T179 Z192 Z205 Z166 Z179 AF192 AF205 AF166 AF179</xm:sqref>
        </x14:dataValidation>
        <x14:dataValidation type="list" allowBlank="1" showInputMessage="1" showErrorMessage="1" xr:uid="{EB876737-DFD7-844D-BA10-677814289937}">
          <x14:formula1>
            <xm:f>'DATA - Variabelen &amp; waarden'!$B$281:$B$295</xm:f>
          </x14:formula1>
          <xm:sqref>N135 H135 T135 Z135 AF135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A763-EA6F-F14E-8B3F-EFA238175963}">
  <sheetPr>
    <tabColor theme="8" tint="-0.249977111117893"/>
  </sheetPr>
  <dimension ref="B2:AH44"/>
  <sheetViews>
    <sheetView showGridLines="0" workbookViewId="0">
      <pane xSplit="2" ySplit="2" topLeftCell="C3" activePane="bottomRight" state="frozen"/>
      <selection pane="topRight" activeCell="C1" sqref="C1"/>
      <selection pane="bottomLeft" activeCell="A3" sqref="A3"/>
      <selection pane="bottomRight" activeCell="F33" sqref="F33"/>
    </sheetView>
  </sheetViews>
  <sheetFormatPr baseColWidth="10" defaultColWidth="11" defaultRowHeight="16" x14ac:dyDescent="0.2"/>
  <cols>
    <col min="1" max="1" width="5.83203125" customWidth="1"/>
    <col min="2" max="2" width="38.6640625" customWidth="1"/>
    <col min="3" max="3" width="8.6640625" customWidth="1"/>
    <col min="4" max="4" width="20.1640625" customWidth="1"/>
    <col min="5" max="5" width="14.33203125" bestFit="1" customWidth="1"/>
    <col min="6" max="6" width="16.33203125" bestFit="1" customWidth="1"/>
    <col min="7" max="7" width="17.5" bestFit="1" customWidth="1"/>
    <col min="8" max="8" width="21" customWidth="1"/>
    <col min="9" max="9" width="19" bestFit="1" customWidth="1"/>
    <col min="10" max="10" width="17.5" bestFit="1" customWidth="1"/>
    <col min="11" max="11" width="21.6640625" bestFit="1" customWidth="1"/>
    <col min="12" max="12" width="23.1640625" bestFit="1" customWidth="1"/>
    <col min="13" max="13" width="23.5" bestFit="1" customWidth="1"/>
    <col min="14" max="14" width="38" bestFit="1" customWidth="1"/>
    <col min="15" max="15" width="29.6640625" bestFit="1" customWidth="1"/>
    <col min="16" max="16" width="23.5" bestFit="1" customWidth="1"/>
    <col min="17" max="17" width="15.33203125" bestFit="1" customWidth="1"/>
    <col min="18" max="18" width="7.1640625" customWidth="1"/>
    <col min="19" max="19" width="54" bestFit="1" customWidth="1"/>
    <col min="20" max="20" width="42.5" customWidth="1"/>
    <col min="21" max="21" width="52" customWidth="1"/>
    <col min="22" max="22" width="43.83203125" bestFit="1" customWidth="1"/>
    <col min="23" max="23" width="45" customWidth="1"/>
    <col min="24" max="24" width="48.6640625" bestFit="1" customWidth="1"/>
    <col min="25" max="25" width="26" bestFit="1" customWidth="1"/>
    <col min="26" max="26" width="24.5" style="99" customWidth="1"/>
    <col min="27" max="27" width="48.5" customWidth="1"/>
    <col min="28" max="28" width="22.83203125" bestFit="1" customWidth="1"/>
    <col min="29" max="29" width="24.5" customWidth="1"/>
    <col min="30" max="30" width="48.5" customWidth="1"/>
    <col min="31" max="31" width="88.1640625" bestFit="1" customWidth="1"/>
  </cols>
  <sheetData>
    <row r="2" spans="2:34" ht="19" x14ac:dyDescent="0.25">
      <c r="B2" s="95" t="s">
        <v>749</v>
      </c>
      <c r="C2" s="100"/>
      <c r="D2" s="101"/>
      <c r="E2" s="101"/>
      <c r="F2" s="101"/>
      <c r="G2" s="100"/>
      <c r="H2" s="100"/>
      <c r="I2" s="100"/>
      <c r="J2" s="102"/>
      <c r="K2" s="100"/>
      <c r="L2" s="100"/>
      <c r="M2" s="100"/>
      <c r="N2" s="100"/>
      <c r="O2" s="100"/>
      <c r="P2" s="100"/>
      <c r="Q2" s="100"/>
      <c r="R2" s="100"/>
      <c r="S2" s="100"/>
      <c r="T2" s="100"/>
      <c r="U2" s="100"/>
      <c r="V2" s="100"/>
      <c r="W2" s="100"/>
      <c r="X2" s="100"/>
      <c r="Y2" s="100"/>
      <c r="Z2" s="96"/>
      <c r="AA2" s="100"/>
      <c r="AB2" s="100"/>
      <c r="AC2" s="100"/>
      <c r="AD2" s="100"/>
      <c r="AE2" s="100"/>
      <c r="AF2" s="100"/>
      <c r="AG2" s="100"/>
      <c r="AH2" s="100"/>
    </row>
    <row r="4" spans="2:34" ht="17" x14ac:dyDescent="0.2">
      <c r="B4" s="105" t="s">
        <v>880</v>
      </c>
      <c r="C4" s="97"/>
      <c r="D4" s="97"/>
      <c r="E4" s="97"/>
      <c r="F4" s="97"/>
      <c r="G4" s="97"/>
      <c r="H4" s="97"/>
      <c r="J4" s="105" t="s">
        <v>20</v>
      </c>
      <c r="K4" s="97"/>
      <c r="L4" s="97"/>
    </row>
    <row r="5" spans="2:34" x14ac:dyDescent="0.2">
      <c r="B5" s="1" t="s">
        <v>884</v>
      </c>
      <c r="C5" s="509" t="s">
        <v>255</v>
      </c>
      <c r="D5" s="509"/>
      <c r="E5" s="509" t="s">
        <v>256</v>
      </c>
      <c r="F5" s="509"/>
      <c r="G5" s="2" t="s">
        <v>881</v>
      </c>
      <c r="H5" s="1" t="s">
        <v>882</v>
      </c>
    </row>
    <row r="6" spans="2:34" x14ac:dyDescent="0.2">
      <c r="B6" s="477">
        <v>5.0000000000000001E-3</v>
      </c>
      <c r="C6" s="508">
        <f>$B6/$J$29*K$30</f>
        <v>14304.5</v>
      </c>
      <c r="D6" s="508"/>
      <c r="E6" s="508">
        <f>$B6/$J$29*L$30</f>
        <v>1245.7083333333335</v>
      </c>
      <c r="F6" s="508"/>
      <c r="G6" s="482">
        <f t="shared" ref="G6:G11" si="0">E6/$L$8</f>
        <v>5.5364814814814825E-3</v>
      </c>
      <c r="H6" s="480">
        <f>$B6/$J$29*O$30</f>
        <v>3056307.5</v>
      </c>
      <c r="J6" t="s">
        <v>267</v>
      </c>
      <c r="L6" s="467">
        <f>'DATA - Variabelen &amp; waarden'!F169</f>
        <v>12</v>
      </c>
    </row>
    <row r="7" spans="2:34" x14ac:dyDescent="0.2">
      <c r="B7" s="479">
        <f>J29</f>
        <v>0.01</v>
      </c>
      <c r="C7" s="508">
        <f>K30</f>
        <v>28609</v>
      </c>
      <c r="D7" s="508"/>
      <c r="E7" s="508">
        <f>L30</f>
        <v>2491.416666666667</v>
      </c>
      <c r="F7" s="508"/>
      <c r="G7" s="483">
        <f t="shared" si="0"/>
        <v>1.1072962962962965E-2</v>
      </c>
      <c r="H7" s="481">
        <f>O30</f>
        <v>6112615</v>
      </c>
      <c r="J7" t="s">
        <v>867</v>
      </c>
      <c r="L7" s="467">
        <f>'SCENARIO 1 - Gemiddeld'!K116</f>
        <v>0.5</v>
      </c>
    </row>
    <row r="8" spans="2:34" x14ac:dyDescent="0.2">
      <c r="B8" s="478">
        <v>0.02</v>
      </c>
      <c r="C8" s="508">
        <f>$B8/$J$29*K$30</f>
        <v>57218</v>
      </c>
      <c r="D8" s="508"/>
      <c r="E8" s="508">
        <f>$B8/$J$29*L$30</f>
        <v>4982.8333333333339</v>
      </c>
      <c r="F8" s="508"/>
      <c r="G8" s="483">
        <f t="shared" si="0"/>
        <v>2.214592592592593E-2</v>
      </c>
      <c r="H8" s="480">
        <f>$B8/$J$29*O$30</f>
        <v>12225230</v>
      </c>
      <c r="J8" t="s">
        <v>883</v>
      </c>
      <c r="L8" s="476">
        <v>225000</v>
      </c>
    </row>
    <row r="9" spans="2:34" x14ac:dyDescent="0.2">
      <c r="B9" s="478">
        <v>0.05</v>
      </c>
      <c r="C9" s="508">
        <f>$B9/$J$29*K$30</f>
        <v>143045</v>
      </c>
      <c r="D9" s="508"/>
      <c r="E9" s="508">
        <f>$B9/$J$29*L$30</f>
        <v>12457.083333333336</v>
      </c>
      <c r="F9" s="508"/>
      <c r="G9" s="483">
        <f t="shared" si="0"/>
        <v>5.5364814814814825E-2</v>
      </c>
      <c r="H9" s="480">
        <f>$B9/$J$29*O$30</f>
        <v>30563075</v>
      </c>
    </row>
    <row r="10" spans="2:34" x14ac:dyDescent="0.2">
      <c r="B10" s="478">
        <v>0.1</v>
      </c>
      <c r="C10" s="508">
        <f>$B10/$J$29*K$30</f>
        <v>286090</v>
      </c>
      <c r="D10" s="508"/>
      <c r="E10" s="508">
        <f>$B10/$J$29*L$30</f>
        <v>24914.166666666672</v>
      </c>
      <c r="F10" s="508"/>
      <c r="G10" s="483">
        <f t="shared" si="0"/>
        <v>0.11072962962962965</v>
      </c>
      <c r="H10" s="480">
        <f>$B10/$J$29*O$30</f>
        <v>61126150</v>
      </c>
      <c r="J10" s="270" t="s">
        <v>885</v>
      </c>
      <c r="L10" s="466" t="s">
        <v>886</v>
      </c>
    </row>
    <row r="11" spans="2:34" x14ac:dyDescent="0.2">
      <c r="B11" s="478">
        <v>0.5</v>
      </c>
      <c r="C11" s="508">
        <f>$B11/$J$29*K$30</f>
        <v>1430450</v>
      </c>
      <c r="D11" s="508"/>
      <c r="E11" s="508">
        <f>$B11/$J$29*L$30</f>
        <v>124570.83333333334</v>
      </c>
      <c r="F11" s="508"/>
      <c r="G11" s="483">
        <f t="shared" si="0"/>
        <v>0.55364814814814822</v>
      </c>
      <c r="H11" s="480">
        <f>$B11/$J$29*O$30</f>
        <v>305630750</v>
      </c>
    </row>
    <row r="14" spans="2:34" ht="17" x14ac:dyDescent="0.2">
      <c r="B14" s="105" t="s">
        <v>233</v>
      </c>
      <c r="C14" s="97" t="s">
        <v>836</v>
      </c>
      <c r="D14" s="97"/>
      <c r="E14" s="97"/>
      <c r="F14" s="97"/>
      <c r="G14" s="97"/>
      <c r="H14" s="97"/>
      <c r="I14" s="97"/>
      <c r="J14" s="97"/>
      <c r="K14" s="97"/>
      <c r="L14" s="97"/>
      <c r="M14" s="97"/>
      <c r="N14" s="303" t="s">
        <v>837</v>
      </c>
      <c r="O14" s="303"/>
      <c r="P14" s="303"/>
      <c r="Q14" s="553" t="s">
        <v>234</v>
      </c>
      <c r="R14" s="553"/>
      <c r="S14" s="167" t="s">
        <v>235</v>
      </c>
      <c r="T14" s="170" t="s">
        <v>236</v>
      </c>
      <c r="U14" s="168" t="s">
        <v>237</v>
      </c>
      <c r="V14" s="168" t="s">
        <v>238</v>
      </c>
      <c r="W14" s="170" t="s">
        <v>239</v>
      </c>
      <c r="X14" s="168" t="s">
        <v>240</v>
      </c>
      <c r="Y14" s="169" t="s">
        <v>241</v>
      </c>
      <c r="Z14" s="170" t="s">
        <v>242</v>
      </c>
      <c r="AA14" s="170" t="s">
        <v>243</v>
      </c>
      <c r="AB14" s="169" t="s">
        <v>851</v>
      </c>
      <c r="AC14" s="170" t="s">
        <v>852</v>
      </c>
      <c r="AD14" s="170" t="s">
        <v>853</v>
      </c>
      <c r="AE14" s="298" t="s">
        <v>244</v>
      </c>
      <c r="AF14" s="299" t="s">
        <v>245</v>
      </c>
      <c r="AG14" s="299" t="s">
        <v>246</v>
      </c>
      <c r="AH14" s="299" t="s">
        <v>247</v>
      </c>
    </row>
    <row r="15" spans="2:34" s="1" customFormat="1" x14ac:dyDescent="0.2">
      <c r="C15" s="1" t="s">
        <v>248</v>
      </c>
      <c r="D15" s="1" t="s">
        <v>249</v>
      </c>
      <c r="E15" s="1" t="s">
        <v>250</v>
      </c>
      <c r="F15" s="1" t="s">
        <v>879</v>
      </c>
      <c r="G15" s="1" t="s">
        <v>251</v>
      </c>
      <c r="H15" s="1" t="s">
        <v>252</v>
      </c>
      <c r="I15" s="1" t="s">
        <v>253</v>
      </c>
      <c r="J15" s="1" t="s">
        <v>254</v>
      </c>
      <c r="K15" s="1" t="s">
        <v>255</v>
      </c>
      <c r="L15" s="1" t="s">
        <v>256</v>
      </c>
      <c r="M15" s="1" t="s">
        <v>257</v>
      </c>
      <c r="N15" s="1" t="s">
        <v>258</v>
      </c>
      <c r="O15" s="1" t="s">
        <v>259</v>
      </c>
      <c r="P15" s="1" t="s">
        <v>260</v>
      </c>
      <c r="Q15" s="300"/>
      <c r="R15" s="301"/>
      <c r="T15" s="151"/>
      <c r="W15" s="151"/>
      <c r="Z15" s="151"/>
      <c r="AC15" s="302"/>
    </row>
    <row r="16" spans="2:34" x14ac:dyDescent="0.2">
      <c r="B16" s="33" t="str">
        <f>'DATA - Variabelen &amp; waarden'!B282</f>
        <v>Bouw - Isolatieplaat (Typha Board)</v>
      </c>
      <c r="C16" s="527" t="s">
        <v>86</v>
      </c>
      <c r="D16" s="508">
        <v>900000</v>
      </c>
      <c r="E16" s="527">
        <v>1</v>
      </c>
      <c r="F16" s="508">
        <f>E16*D16</f>
        <v>900000</v>
      </c>
      <c r="G16" s="511">
        <v>0.1</v>
      </c>
      <c r="H16" s="542">
        <v>0.8</v>
      </c>
      <c r="I16" s="508">
        <f>F16*G16*H16</f>
        <v>72000</v>
      </c>
      <c r="J16" s="542">
        <v>0.01</v>
      </c>
      <c r="K16" s="508">
        <f t="shared" ref="K16:K25" si="1">I16*J16</f>
        <v>720</v>
      </c>
      <c r="L16" s="508">
        <f>K16/$L$6</f>
        <v>60</v>
      </c>
      <c r="M16" s="511">
        <f>K16/$K$30</f>
        <v>2.5166905519242198E-2</v>
      </c>
      <c r="N16" s="440">
        <f>'DATA - Variabelen &amp; waarden'!F282</f>
        <v>600</v>
      </c>
      <c r="O16" s="440">
        <f>K16*N16*0.5</f>
        <v>216000</v>
      </c>
      <c r="P16" s="426">
        <f t="shared" ref="P16:P28" si="2">O16/$O$30</f>
        <v>3.5336758490433308E-2</v>
      </c>
      <c r="Q16" s="527" t="s">
        <v>315</v>
      </c>
      <c r="R16" s="543">
        <v>1</v>
      </c>
      <c r="S16" s="527" t="s">
        <v>838</v>
      </c>
      <c r="T16" s="538" t="s">
        <v>843</v>
      </c>
      <c r="U16" s="529" t="s">
        <v>839</v>
      </c>
      <c r="V16" s="527"/>
      <c r="W16" s="537"/>
      <c r="X16" s="527"/>
      <c r="Y16" s="527"/>
      <c r="Z16" s="537"/>
      <c r="AA16" s="527"/>
      <c r="AB16" s="527"/>
      <c r="AC16" s="536"/>
      <c r="AD16" s="527"/>
      <c r="AE16" s="527"/>
      <c r="AF16" s="527"/>
      <c r="AG16" s="527"/>
      <c r="AH16" s="527"/>
    </row>
    <row r="17" spans="2:34" x14ac:dyDescent="0.2">
      <c r="B17" s="448" t="str">
        <f>'DATA - Variabelen &amp; waarden'!B283</f>
        <v>Bouw - Inblaasisolatie</v>
      </c>
      <c r="C17" s="514"/>
      <c r="D17" s="507"/>
      <c r="E17" s="514"/>
      <c r="F17" s="507"/>
      <c r="G17" s="512"/>
      <c r="H17" s="526"/>
      <c r="I17" s="507"/>
      <c r="J17" s="526"/>
      <c r="K17" s="507"/>
      <c r="L17" s="507"/>
      <c r="M17" s="512"/>
      <c r="N17" s="449">
        <f>'DATA - Variabelen &amp; waarden'!F283</f>
        <v>1200</v>
      </c>
      <c r="O17" s="449">
        <f>K16*N17*0.5</f>
        <v>432000</v>
      </c>
      <c r="P17" s="450">
        <f t="shared" si="2"/>
        <v>7.0673516980866616E-2</v>
      </c>
      <c r="Q17" s="514"/>
      <c r="R17" s="522"/>
      <c r="S17" s="514"/>
      <c r="T17" s="524"/>
      <c r="U17" s="520"/>
      <c r="V17" s="514"/>
      <c r="W17" s="518"/>
      <c r="X17" s="514"/>
      <c r="Y17" s="514"/>
      <c r="Z17" s="518"/>
      <c r="AA17" s="514"/>
      <c r="AB17" s="514"/>
      <c r="AC17" s="516"/>
      <c r="AD17" s="514"/>
      <c r="AE17" s="514"/>
      <c r="AF17" s="514"/>
      <c r="AG17" s="514"/>
      <c r="AH17" s="514"/>
    </row>
    <row r="18" spans="2:34" x14ac:dyDescent="0.2">
      <c r="B18" s="445" t="str">
        <f>'DATA - Variabelen &amp; waarden'!B284</f>
        <v xml:space="preserve">Bouw - Particle board </v>
      </c>
      <c r="C18" s="513" t="s">
        <v>86</v>
      </c>
      <c r="D18" s="506">
        <v>1155000</v>
      </c>
      <c r="E18" s="513">
        <v>1</v>
      </c>
      <c r="F18" s="506">
        <f>E18*D18</f>
        <v>1155000</v>
      </c>
      <c r="G18" s="510">
        <v>1</v>
      </c>
      <c r="H18" s="560">
        <v>0.8</v>
      </c>
      <c r="I18" s="506">
        <f>F18*G18*H18</f>
        <v>924000</v>
      </c>
      <c r="J18" s="525">
        <v>0.01</v>
      </c>
      <c r="K18" s="506">
        <f t="shared" si="1"/>
        <v>9240</v>
      </c>
      <c r="L18" s="506">
        <f>K18/$L$6</f>
        <v>770</v>
      </c>
      <c r="M18" s="510">
        <f>K18/$K$30</f>
        <v>0.32297528749694154</v>
      </c>
      <c r="N18" s="446">
        <f>'DATA - Variabelen &amp; waarden'!F284</f>
        <v>200</v>
      </c>
      <c r="O18" s="446">
        <f>K18*N18*(1/3)</f>
        <v>616000</v>
      </c>
      <c r="P18" s="447">
        <f t="shared" si="2"/>
        <v>0.10077520013938387</v>
      </c>
      <c r="Q18" s="513" t="s">
        <v>315</v>
      </c>
      <c r="R18" s="521">
        <v>1</v>
      </c>
      <c r="S18" s="533" t="s">
        <v>870</v>
      </c>
      <c r="T18" s="523" t="s">
        <v>864</v>
      </c>
      <c r="U18" s="530" t="s">
        <v>869</v>
      </c>
      <c r="V18" s="513" t="s">
        <v>845</v>
      </c>
      <c r="W18" s="523" t="s">
        <v>849</v>
      </c>
      <c r="X18" s="519" t="s">
        <v>846</v>
      </c>
      <c r="Y18" s="513" t="s">
        <v>847</v>
      </c>
      <c r="Z18" s="523" t="s">
        <v>850</v>
      </c>
      <c r="AA18" s="519" t="s">
        <v>848</v>
      </c>
      <c r="AB18" s="513" t="s">
        <v>854</v>
      </c>
      <c r="AC18" s="523" t="s">
        <v>855</v>
      </c>
      <c r="AD18" s="519" t="s">
        <v>856</v>
      </c>
      <c r="AE18" s="445"/>
      <c r="AF18" s="445"/>
      <c r="AG18" s="445"/>
      <c r="AH18" s="445"/>
    </row>
    <row r="19" spans="2:34" x14ac:dyDescent="0.2">
      <c r="B19" s="33" t="str">
        <f>'DATA - Variabelen &amp; waarden'!B285</f>
        <v xml:space="preserve">Bouw - Binderless board </v>
      </c>
      <c r="C19" s="527"/>
      <c r="D19" s="508"/>
      <c r="E19" s="527"/>
      <c r="F19" s="508"/>
      <c r="G19" s="511"/>
      <c r="H19" s="561"/>
      <c r="I19" s="508"/>
      <c r="J19" s="542"/>
      <c r="K19" s="508"/>
      <c r="L19" s="508"/>
      <c r="M19" s="511"/>
      <c r="N19" s="440">
        <f>'DATA - Variabelen &amp; waarden'!F285</f>
        <v>400</v>
      </c>
      <c r="O19" s="440">
        <f>K18*N19*(1/3)</f>
        <v>1232000</v>
      </c>
      <c r="P19" s="426">
        <f t="shared" si="2"/>
        <v>0.20155040027876775</v>
      </c>
      <c r="Q19" s="527"/>
      <c r="R19" s="543"/>
      <c r="S19" s="534"/>
      <c r="T19" s="528"/>
      <c r="U19" s="531"/>
      <c r="V19" s="527"/>
      <c r="W19" s="528"/>
      <c r="X19" s="529"/>
      <c r="Y19" s="527"/>
      <c r="Z19" s="528"/>
      <c r="AA19" s="529"/>
      <c r="AB19" s="527"/>
      <c r="AC19" s="528"/>
      <c r="AD19" s="529"/>
      <c r="AE19" s="33"/>
      <c r="AF19" s="33"/>
      <c r="AG19" s="33"/>
      <c r="AH19" s="33"/>
    </row>
    <row r="20" spans="2:34" x14ac:dyDescent="0.2">
      <c r="B20" s="448" t="str">
        <f>'DATA - Variabelen &amp; waarden'!B286</f>
        <v>Bouw - Cellulose fibre board (ECOR)</v>
      </c>
      <c r="C20" s="514"/>
      <c r="D20" s="507"/>
      <c r="E20" s="514"/>
      <c r="F20" s="507"/>
      <c r="G20" s="512"/>
      <c r="H20" s="562"/>
      <c r="I20" s="507"/>
      <c r="J20" s="526"/>
      <c r="K20" s="507"/>
      <c r="L20" s="507"/>
      <c r="M20" s="512"/>
      <c r="N20" s="449">
        <f>'DATA - Variabelen &amp; waarden'!F286</f>
        <v>100</v>
      </c>
      <c r="O20" s="449">
        <f>K18*N20*(1/3)</f>
        <v>308000</v>
      </c>
      <c r="P20" s="450">
        <f t="shared" si="2"/>
        <v>5.0387600069691937E-2</v>
      </c>
      <c r="Q20" s="514"/>
      <c r="R20" s="522"/>
      <c r="S20" s="535"/>
      <c r="T20" s="524"/>
      <c r="U20" s="532"/>
      <c r="V20" s="514"/>
      <c r="W20" s="524"/>
      <c r="X20" s="520"/>
      <c r="Y20" s="514"/>
      <c r="Z20" s="524"/>
      <c r="AA20" s="520"/>
      <c r="AB20" s="514"/>
      <c r="AC20" s="524"/>
      <c r="AD20" s="520"/>
      <c r="AE20" s="448"/>
      <c r="AF20" s="448"/>
      <c r="AG20" s="448"/>
      <c r="AH20" s="448"/>
    </row>
    <row r="21" spans="2:34" x14ac:dyDescent="0.2">
      <c r="B21" t="str">
        <f>'DATA - Variabelen &amp; waarden'!B287</f>
        <v>Bouw - Beton - Vuller</v>
      </c>
      <c r="C21" t="s">
        <v>844</v>
      </c>
      <c r="D21" s="304">
        <f>14000000*(975/1000)</f>
        <v>13650000</v>
      </c>
      <c r="E21">
        <v>2.2999999999999998</v>
      </c>
      <c r="F21" s="304">
        <f>E21*D21</f>
        <v>31394999.999999996</v>
      </c>
      <c r="G21" s="305">
        <v>0.1</v>
      </c>
      <c r="H21" s="4">
        <v>0.1</v>
      </c>
      <c r="I21" s="304">
        <f>F21*G21*H21</f>
        <v>313950</v>
      </c>
      <c r="J21" s="305">
        <v>0.01</v>
      </c>
      <c r="K21" s="304">
        <f t="shared" si="1"/>
        <v>3139.5</v>
      </c>
      <c r="L21" s="304">
        <f>K21/$L$6</f>
        <v>261.625</v>
      </c>
      <c r="M21" s="4">
        <f>K21/$K$30</f>
        <v>0.10973819427452899</v>
      </c>
      <c r="N21" s="306">
        <f>'DATA - Variabelen &amp; waarden'!F287</f>
        <v>175</v>
      </c>
      <c r="O21" s="306">
        <f>K21*N21</f>
        <v>549412.5</v>
      </c>
      <c r="P21" s="4">
        <f t="shared" si="2"/>
        <v>8.9881744556135137E-2</v>
      </c>
      <c r="Q21" t="s">
        <v>315</v>
      </c>
      <c r="R21" s="166">
        <v>1</v>
      </c>
      <c r="S21" t="s">
        <v>857</v>
      </c>
      <c r="T21" s="134" t="s">
        <v>859</v>
      </c>
      <c r="U21" t="s">
        <v>858</v>
      </c>
      <c r="V21" t="s">
        <v>862</v>
      </c>
      <c r="W21" s="134" t="s">
        <v>863</v>
      </c>
      <c r="X21" t="s">
        <v>861</v>
      </c>
      <c r="Y21" t="s">
        <v>865</v>
      </c>
      <c r="Z21" s="134" t="s">
        <v>878</v>
      </c>
      <c r="AA21" t="s">
        <v>866</v>
      </c>
      <c r="AC21" s="52"/>
    </row>
    <row r="22" spans="2:34" x14ac:dyDescent="0.2">
      <c r="B22" s="457" t="str">
        <f>'DATA - Variabelen &amp; waarden'!B288</f>
        <v>Bouw - Beton - Droge mortel - Versterker</v>
      </c>
      <c r="C22" s="457" t="s">
        <v>844</v>
      </c>
      <c r="D22" s="458">
        <f>14000000*(25/1000)</f>
        <v>350000</v>
      </c>
      <c r="E22" s="457">
        <v>2</v>
      </c>
      <c r="F22" s="458">
        <f>E22*D22</f>
        <v>700000</v>
      </c>
      <c r="G22" s="461">
        <v>0.8</v>
      </c>
      <c r="H22" s="459">
        <v>0.01</v>
      </c>
      <c r="I22" s="458">
        <f>F22*G22*H22</f>
        <v>5600</v>
      </c>
      <c r="J22" s="461">
        <v>0.01</v>
      </c>
      <c r="K22" s="458">
        <f t="shared" si="1"/>
        <v>56</v>
      </c>
      <c r="L22" s="458">
        <f>K22/$L$7</f>
        <v>112</v>
      </c>
      <c r="M22" s="472">
        <f>K22/$K$30</f>
        <v>1.9574259848299485E-3</v>
      </c>
      <c r="N22" s="462">
        <f>'DATA - Variabelen &amp; waarden'!F288</f>
        <v>1290</v>
      </c>
      <c r="O22" s="462">
        <f>K22*N22</f>
        <v>72240</v>
      </c>
      <c r="P22" s="474">
        <f t="shared" si="2"/>
        <v>1.1818182561800472E-2</v>
      </c>
      <c r="Q22" s="457" t="s">
        <v>315</v>
      </c>
      <c r="R22" s="463">
        <v>1</v>
      </c>
      <c r="S22" s="457" t="s">
        <v>857</v>
      </c>
      <c r="T22" s="464" t="s">
        <v>860</v>
      </c>
      <c r="U22" s="457" t="s">
        <v>858</v>
      </c>
      <c r="V22" s="457" t="s">
        <v>487</v>
      </c>
      <c r="W22" s="464" t="s">
        <v>868</v>
      </c>
      <c r="X22" s="457" t="s">
        <v>489</v>
      </c>
      <c r="Y22" s="457"/>
      <c r="Z22" s="464"/>
      <c r="AA22" s="457"/>
      <c r="AB22" s="457"/>
      <c r="AC22" s="465"/>
      <c r="AD22" s="457"/>
      <c r="AE22" s="457"/>
      <c r="AF22" s="457"/>
      <c r="AG22" s="457"/>
      <c r="AH22" s="457"/>
    </row>
    <row r="23" spans="2:34" x14ac:dyDescent="0.2">
      <c r="B23" t="str">
        <f>'DATA - Variabelen &amp; waarden'!B289</f>
        <v xml:space="preserve">Plastics - Spuitgieten - Vuller </v>
      </c>
      <c r="C23" s="513" t="s">
        <v>86</v>
      </c>
      <c r="D23" s="506">
        <v>1876000</v>
      </c>
      <c r="E23" s="513">
        <v>1</v>
      </c>
      <c r="F23" s="506">
        <f>E23*D23</f>
        <v>1876000</v>
      </c>
      <c r="G23" s="510">
        <v>0.15</v>
      </c>
      <c r="H23" s="510">
        <v>0.25</v>
      </c>
      <c r="I23" s="506">
        <f>F23*G23*H23</f>
        <v>70350</v>
      </c>
      <c r="J23" s="525">
        <v>0.01</v>
      </c>
      <c r="K23" s="506">
        <f t="shared" si="1"/>
        <v>703.5</v>
      </c>
      <c r="L23" s="506">
        <f>K23/$L$6</f>
        <v>58.625</v>
      </c>
      <c r="M23" s="510">
        <f>K23/$K$30</f>
        <v>2.4590163934426229E-2</v>
      </c>
      <c r="N23" s="306">
        <f>'DATA - Variabelen &amp; waarden'!F289</f>
        <v>300</v>
      </c>
      <c r="O23" s="306">
        <f>K23*N23*0.75</f>
        <v>158287.5</v>
      </c>
      <c r="P23" s="4">
        <f t="shared" si="2"/>
        <v>2.5895218331270658E-2</v>
      </c>
      <c r="Q23" s="513" t="s">
        <v>315</v>
      </c>
      <c r="R23" s="521">
        <v>1</v>
      </c>
      <c r="S23" s="513" t="s">
        <v>874</v>
      </c>
      <c r="T23" s="523" t="s">
        <v>875</v>
      </c>
      <c r="U23" s="519" t="s">
        <v>876</v>
      </c>
      <c r="V23" s="513" t="s">
        <v>872</v>
      </c>
      <c r="W23" s="517" t="s">
        <v>871</v>
      </c>
      <c r="X23" s="519" t="s">
        <v>873</v>
      </c>
      <c r="Y23" s="513" t="s">
        <v>490</v>
      </c>
      <c r="Z23" s="517" t="s">
        <v>877</v>
      </c>
      <c r="AA23" s="513" t="s">
        <v>489</v>
      </c>
      <c r="AB23" s="513"/>
      <c r="AC23" s="515"/>
      <c r="AD23" s="513"/>
      <c r="AE23" s="513"/>
      <c r="AF23" s="513"/>
      <c r="AG23" s="513"/>
      <c r="AH23" s="513"/>
    </row>
    <row r="24" spans="2:34" x14ac:dyDescent="0.2">
      <c r="B24" t="str">
        <f>'DATA - Variabelen &amp; waarden'!B290</f>
        <v>Plastics - Composiet matrix</v>
      </c>
      <c r="C24" s="514"/>
      <c r="D24" s="507"/>
      <c r="E24" s="514"/>
      <c r="F24" s="507"/>
      <c r="G24" s="512"/>
      <c r="H24" s="512"/>
      <c r="I24" s="507"/>
      <c r="J24" s="526"/>
      <c r="K24" s="507"/>
      <c r="L24" s="507"/>
      <c r="M24" s="512"/>
      <c r="N24" s="306">
        <f>'DATA - Variabelen &amp; waarden'!F290</f>
        <v>200</v>
      </c>
      <c r="O24" s="306">
        <f>K23*N24*0.25</f>
        <v>35175</v>
      </c>
      <c r="P24" s="468">
        <f t="shared" si="2"/>
        <v>5.7544929625045907E-3</v>
      </c>
      <c r="Q24" s="514"/>
      <c r="R24" s="522"/>
      <c r="S24" s="514"/>
      <c r="T24" s="524"/>
      <c r="U24" s="520"/>
      <c r="V24" s="514"/>
      <c r="W24" s="518"/>
      <c r="X24" s="520"/>
      <c r="Y24" s="514"/>
      <c r="Z24" s="518"/>
      <c r="AA24" s="514"/>
      <c r="AB24" s="514"/>
      <c r="AC24" s="516"/>
      <c r="AD24" s="514"/>
      <c r="AE24" s="514"/>
      <c r="AF24" s="514"/>
      <c r="AG24" s="514"/>
      <c r="AH24" s="514"/>
    </row>
    <row r="25" spans="2:34" x14ac:dyDescent="0.2">
      <c r="B25" s="445" t="str">
        <f>'DATA - Variabelen &amp; waarden'!B291</f>
        <v xml:space="preserve">Papier - Moulded fibre </v>
      </c>
      <c r="C25" s="554" t="s">
        <v>86</v>
      </c>
      <c r="D25" s="506">
        <v>3000000</v>
      </c>
      <c r="E25" s="557">
        <v>1</v>
      </c>
      <c r="F25" s="506">
        <f>E25*D25</f>
        <v>3000000</v>
      </c>
      <c r="G25" s="510">
        <v>1</v>
      </c>
      <c r="H25" s="510">
        <v>0.1</v>
      </c>
      <c r="I25" s="506">
        <f>F25*G25*H25</f>
        <v>300000</v>
      </c>
      <c r="J25" s="525">
        <v>0.01</v>
      </c>
      <c r="K25" s="506">
        <f t="shared" si="1"/>
        <v>3000</v>
      </c>
      <c r="L25" s="506">
        <f>K25/$L$6</f>
        <v>250</v>
      </c>
      <c r="M25" s="510">
        <f>K25/$K$30</f>
        <v>0.10486210633017581</v>
      </c>
      <c r="N25" s="446">
        <f>'DATA - Variabelen &amp; waarden'!F291</f>
        <v>50</v>
      </c>
      <c r="O25" s="446">
        <f>K25*N25*0.9</f>
        <v>135000</v>
      </c>
      <c r="P25" s="447">
        <f t="shared" si="2"/>
        <v>2.2085474056520817E-2</v>
      </c>
      <c r="Q25" s="513" t="s">
        <v>315</v>
      </c>
      <c r="R25" s="521">
        <v>1</v>
      </c>
      <c r="S25" s="513" t="s">
        <v>835</v>
      </c>
      <c r="T25" s="517" t="s">
        <v>840</v>
      </c>
      <c r="U25" s="530" t="s">
        <v>647</v>
      </c>
      <c r="V25" s="513" t="s">
        <v>261</v>
      </c>
      <c r="W25" s="517" t="s">
        <v>262</v>
      </c>
      <c r="X25" s="550" t="s">
        <v>263</v>
      </c>
      <c r="Y25" s="539"/>
      <c r="Z25" s="544"/>
      <c r="AA25" s="539"/>
      <c r="AB25" s="539"/>
      <c r="AC25" s="547"/>
      <c r="AD25" s="539"/>
      <c r="AE25" s="539"/>
      <c r="AF25" s="539"/>
      <c r="AG25" s="539"/>
      <c r="AH25" s="539"/>
    </row>
    <row r="26" spans="2:34" x14ac:dyDescent="0.2">
      <c r="B26" s="33" t="str">
        <f>'DATA - Variabelen &amp; waarden'!B292</f>
        <v>Papier - Massief karton - Vuller</v>
      </c>
      <c r="C26" s="555"/>
      <c r="D26" s="508"/>
      <c r="E26" s="558"/>
      <c r="F26" s="508"/>
      <c r="G26" s="511"/>
      <c r="H26" s="511"/>
      <c r="I26" s="508"/>
      <c r="J26" s="542"/>
      <c r="K26" s="508"/>
      <c r="L26" s="508"/>
      <c r="M26" s="511"/>
      <c r="N26" s="440">
        <f>'DATA - Variabelen &amp; waarden'!F292</f>
        <v>200</v>
      </c>
      <c r="O26" s="440">
        <f>K25*N26*0.095</f>
        <v>57000</v>
      </c>
      <c r="P26" s="475">
        <f t="shared" si="2"/>
        <v>9.3249779349754564E-3</v>
      </c>
      <c r="Q26" s="527"/>
      <c r="R26" s="543"/>
      <c r="S26" s="527"/>
      <c r="T26" s="537"/>
      <c r="U26" s="531"/>
      <c r="V26" s="527"/>
      <c r="W26" s="537"/>
      <c r="X26" s="551"/>
      <c r="Y26" s="540"/>
      <c r="Z26" s="545"/>
      <c r="AA26" s="540"/>
      <c r="AB26" s="540"/>
      <c r="AC26" s="548"/>
      <c r="AD26" s="540"/>
      <c r="AE26" s="540"/>
      <c r="AF26" s="540"/>
      <c r="AG26" s="540"/>
      <c r="AH26" s="540"/>
    </row>
    <row r="27" spans="2:34" x14ac:dyDescent="0.2">
      <c r="B27" s="448" t="str">
        <f>'DATA - Variabelen &amp; waarden'!B293</f>
        <v xml:space="preserve">Papier - Decoratie </v>
      </c>
      <c r="C27" s="556"/>
      <c r="D27" s="507"/>
      <c r="E27" s="559"/>
      <c r="F27" s="507"/>
      <c r="G27" s="512"/>
      <c r="H27" s="512"/>
      <c r="I27" s="507"/>
      <c r="J27" s="526"/>
      <c r="K27" s="507"/>
      <c r="L27" s="507"/>
      <c r="M27" s="512"/>
      <c r="N27" s="449">
        <f>'DATA - Variabelen &amp; waarden'!F293</f>
        <v>100</v>
      </c>
      <c r="O27" s="449">
        <f>K25*N27*0.005</f>
        <v>1500</v>
      </c>
      <c r="P27" s="473">
        <f t="shared" si="2"/>
        <v>2.4539415618356463E-4</v>
      </c>
      <c r="Q27" s="514"/>
      <c r="R27" s="522"/>
      <c r="S27" s="514"/>
      <c r="T27" s="518"/>
      <c r="U27" s="532"/>
      <c r="V27" s="514"/>
      <c r="W27" s="518"/>
      <c r="X27" s="552"/>
      <c r="Y27" s="541"/>
      <c r="Z27" s="546"/>
      <c r="AA27" s="541"/>
      <c r="AB27" s="541"/>
      <c r="AC27" s="549"/>
      <c r="AD27" s="541"/>
      <c r="AE27" s="541"/>
      <c r="AF27" s="541"/>
      <c r="AG27" s="541"/>
      <c r="AH27" s="541"/>
    </row>
    <row r="28" spans="2:34" x14ac:dyDescent="0.2">
      <c r="B28" s="457" t="str">
        <f>'DATA - Variabelen &amp; waarden'!B294</f>
        <v>Substraat - Oesterzwammen</v>
      </c>
      <c r="C28" s="457" t="s">
        <v>86</v>
      </c>
      <c r="D28" s="458">
        <v>50000</v>
      </c>
      <c r="E28" s="469">
        <v>1</v>
      </c>
      <c r="F28" s="458">
        <f>E28*D28</f>
        <v>50000</v>
      </c>
      <c r="G28" s="459">
        <v>1</v>
      </c>
      <c r="H28" s="460">
        <v>1</v>
      </c>
      <c r="I28" s="458">
        <f>F28*G28*H28</f>
        <v>50000</v>
      </c>
      <c r="J28" s="461">
        <v>0.01</v>
      </c>
      <c r="K28" s="458">
        <f>I28*J28</f>
        <v>500</v>
      </c>
      <c r="L28" s="458">
        <f>K28/$L$6</f>
        <v>41.666666666666664</v>
      </c>
      <c r="M28" s="459">
        <f>K28/$K$30</f>
        <v>1.7477017721695971E-2</v>
      </c>
      <c r="N28" s="462">
        <f>'DATA - Variabelen &amp; waarden'!F294</f>
        <v>100</v>
      </c>
      <c r="O28" s="462">
        <f>K28*N28</f>
        <v>50000</v>
      </c>
      <c r="P28" s="474">
        <f t="shared" si="2"/>
        <v>8.1798052061188217E-3</v>
      </c>
      <c r="Q28" s="457" t="s">
        <v>315</v>
      </c>
      <c r="R28" s="463">
        <v>1</v>
      </c>
      <c r="S28" s="457" t="s">
        <v>453</v>
      </c>
      <c r="T28" s="464" t="s">
        <v>841</v>
      </c>
      <c r="U28" s="457" t="s">
        <v>263</v>
      </c>
      <c r="V28" s="457"/>
      <c r="W28" s="464"/>
      <c r="X28" s="457"/>
      <c r="Y28" s="457"/>
      <c r="Z28" s="464"/>
      <c r="AA28" s="457"/>
      <c r="AB28" s="457"/>
      <c r="AC28" s="465"/>
      <c r="AD28" s="457"/>
      <c r="AE28" s="457"/>
      <c r="AF28" s="457"/>
      <c r="AG28" s="457"/>
      <c r="AH28" s="457"/>
    </row>
    <row r="29" spans="2:34" x14ac:dyDescent="0.2">
      <c r="B29" s="33" t="str">
        <f>'DATA - Variabelen &amp; waarden'!B295</f>
        <v>Substraat - Turf &amp; veenvervangers</v>
      </c>
      <c r="C29" s="33" t="s">
        <v>844</v>
      </c>
      <c r="D29" s="451">
        <v>7500000</v>
      </c>
      <c r="E29" s="452">
        <v>0.15</v>
      </c>
      <c r="F29" s="451">
        <f>E29*D29</f>
        <v>1125000</v>
      </c>
      <c r="G29" s="426">
        <v>1</v>
      </c>
      <c r="H29" s="51">
        <v>1</v>
      </c>
      <c r="I29" s="451">
        <f>F29*G29*H29</f>
        <v>1125000</v>
      </c>
      <c r="J29" s="453">
        <v>0.01</v>
      </c>
      <c r="K29" s="451">
        <f>I29*J29</f>
        <v>11250</v>
      </c>
      <c r="L29" s="451">
        <f>K29/$L$6</f>
        <v>937.5</v>
      </c>
      <c r="M29" s="426">
        <f>K29/$K$30</f>
        <v>0.39323289873815931</v>
      </c>
      <c r="N29" s="440">
        <f>'DATA - Variabelen &amp; waarden'!F295</f>
        <v>200</v>
      </c>
      <c r="O29" s="440">
        <f>K29*N29</f>
        <v>2250000</v>
      </c>
      <c r="P29" s="426">
        <f>O29/$O$30</f>
        <v>0.36809123427534696</v>
      </c>
      <c r="Q29" s="33" t="s">
        <v>315</v>
      </c>
      <c r="R29" s="454">
        <v>1</v>
      </c>
      <c r="S29" s="33" t="s">
        <v>264</v>
      </c>
      <c r="T29" s="455" t="s">
        <v>842</v>
      </c>
      <c r="U29" s="33" t="s">
        <v>265</v>
      </c>
      <c r="V29" s="33" t="s">
        <v>311</v>
      </c>
      <c r="W29" s="456" t="s">
        <v>686</v>
      </c>
      <c r="X29" s="456" t="s">
        <v>313</v>
      </c>
      <c r="Y29" s="33"/>
      <c r="Z29" s="470"/>
      <c r="AA29" s="33"/>
      <c r="AB29" s="33"/>
      <c r="AC29" s="33"/>
      <c r="AD29" s="33"/>
      <c r="AE29" s="33" t="s">
        <v>266</v>
      </c>
      <c r="AF29" s="33"/>
      <c r="AG29" s="33"/>
      <c r="AH29" s="33"/>
    </row>
    <row r="30" spans="2:34" s="1" customFormat="1" x14ac:dyDescent="0.2">
      <c r="B30" s="441" t="s">
        <v>47</v>
      </c>
      <c r="C30" s="441"/>
      <c r="D30" s="441"/>
      <c r="E30" s="441"/>
      <c r="F30" s="441"/>
      <c r="G30" s="441"/>
      <c r="H30" s="441"/>
      <c r="I30" s="442"/>
      <c r="J30" s="441"/>
      <c r="K30" s="442">
        <f>SUM(K16:K29)</f>
        <v>28609</v>
      </c>
      <c r="L30" s="442">
        <f>SUM(L16:L29)</f>
        <v>2491.416666666667</v>
      </c>
      <c r="M30" s="443">
        <f>SUM(M16:M29)</f>
        <v>1</v>
      </c>
      <c r="N30" s="441"/>
      <c r="O30" s="444">
        <f>SUM(O16:O29)</f>
        <v>6112615</v>
      </c>
      <c r="P30" s="443">
        <f>SUM(P16:P29)</f>
        <v>0.99999999999999989</v>
      </c>
      <c r="Q30" s="441"/>
      <c r="R30" s="441"/>
      <c r="S30" s="441"/>
      <c r="T30" s="441"/>
      <c r="U30" s="441"/>
      <c r="V30" s="441"/>
      <c r="W30" s="441"/>
      <c r="X30" s="441"/>
      <c r="Y30" s="441"/>
      <c r="Z30" s="471"/>
      <c r="AA30" s="441"/>
      <c r="AB30" s="441"/>
      <c r="AC30" s="441"/>
      <c r="AD30" s="441"/>
      <c r="AE30" s="441"/>
      <c r="AF30" s="441"/>
      <c r="AG30" s="441"/>
      <c r="AH30" s="441"/>
    </row>
    <row r="41" spans="2:7" x14ac:dyDescent="0.2">
      <c r="G41" s="3"/>
    </row>
    <row r="42" spans="2:7" x14ac:dyDescent="0.2">
      <c r="D42" s="3"/>
    </row>
    <row r="43" spans="2:7" x14ac:dyDescent="0.2">
      <c r="E43" s="468"/>
      <c r="F43" s="468"/>
    </row>
    <row r="44" spans="2:7" x14ac:dyDescent="0.2">
      <c r="B44" s="52"/>
      <c r="D44" s="294"/>
    </row>
  </sheetData>
  <mergeCells count="127">
    <mergeCell ref="Q14:R14"/>
    <mergeCell ref="C25:C27"/>
    <mergeCell ref="D25:D27"/>
    <mergeCell ref="E25:E27"/>
    <mergeCell ref="S25:S27"/>
    <mergeCell ref="G25:G27"/>
    <mergeCell ref="Q18:Q20"/>
    <mergeCell ref="R18:R20"/>
    <mergeCell ref="C18:C20"/>
    <mergeCell ref="D18:D20"/>
    <mergeCell ref="E18:E20"/>
    <mergeCell ref="G18:G20"/>
    <mergeCell ref="H18:H20"/>
    <mergeCell ref="I18:I20"/>
    <mergeCell ref="J18:J20"/>
    <mergeCell ref="K18:K20"/>
    <mergeCell ref="L23:L24"/>
    <mergeCell ref="M23:M24"/>
    <mergeCell ref="C23:C24"/>
    <mergeCell ref="D23:D24"/>
    <mergeCell ref="E23:E24"/>
    <mergeCell ref="G23:G24"/>
    <mergeCell ref="H23:H24"/>
    <mergeCell ref="L18:L20"/>
    <mergeCell ref="AC25:AC27"/>
    <mergeCell ref="AD25:AD27"/>
    <mergeCell ref="X25:X27"/>
    <mergeCell ref="T25:T27"/>
    <mergeCell ref="U25:U27"/>
    <mergeCell ref="H25:H27"/>
    <mergeCell ref="V25:V27"/>
    <mergeCell ref="W25:W27"/>
    <mergeCell ref="I25:I27"/>
    <mergeCell ref="K25:K27"/>
    <mergeCell ref="J25:J27"/>
    <mergeCell ref="L25:L27"/>
    <mergeCell ref="M25:M27"/>
    <mergeCell ref="Q25:Q27"/>
    <mergeCell ref="R25:R27"/>
    <mergeCell ref="V16:V17"/>
    <mergeCell ref="W16:W17"/>
    <mergeCell ref="X16:X17"/>
    <mergeCell ref="AG25:AG27"/>
    <mergeCell ref="AH25:AH27"/>
    <mergeCell ref="C16:C17"/>
    <mergeCell ref="D16:D17"/>
    <mergeCell ref="E16:E17"/>
    <mergeCell ref="G16:G17"/>
    <mergeCell ref="H16:H17"/>
    <mergeCell ref="I16:I17"/>
    <mergeCell ref="J16:J17"/>
    <mergeCell ref="K16:K17"/>
    <mergeCell ref="L16:L17"/>
    <mergeCell ref="M16:M17"/>
    <mergeCell ref="Q16:Q17"/>
    <mergeCell ref="R16:R17"/>
    <mergeCell ref="S16:S17"/>
    <mergeCell ref="Y25:Y27"/>
    <mergeCell ref="Z25:Z27"/>
    <mergeCell ref="AA25:AA27"/>
    <mergeCell ref="AE25:AE27"/>
    <mergeCell ref="AF25:AF27"/>
    <mergeCell ref="AB25:AB27"/>
    <mergeCell ref="V18:V20"/>
    <mergeCell ref="W18:W20"/>
    <mergeCell ref="X18:X20"/>
    <mergeCell ref="AG16:AG17"/>
    <mergeCell ref="AH16:AH17"/>
    <mergeCell ref="U18:U20"/>
    <mergeCell ref="S18:S20"/>
    <mergeCell ref="T18:T20"/>
    <mergeCell ref="Y18:Y20"/>
    <mergeCell ref="Z18:Z20"/>
    <mergeCell ref="AA18:AA20"/>
    <mergeCell ref="AB16:AB17"/>
    <mergeCell ref="AC16:AC17"/>
    <mergeCell ref="AD16:AD17"/>
    <mergeCell ref="AB18:AB20"/>
    <mergeCell ref="AC18:AC20"/>
    <mergeCell ref="AD18:AD20"/>
    <mergeCell ref="Y16:Y17"/>
    <mergeCell ref="Z16:Z17"/>
    <mergeCell ref="AA16:AA17"/>
    <mergeCell ref="AE16:AE17"/>
    <mergeCell ref="AF16:AF17"/>
    <mergeCell ref="T16:T17"/>
    <mergeCell ref="U16:U17"/>
    <mergeCell ref="M18:M20"/>
    <mergeCell ref="AF23:AF24"/>
    <mergeCell ref="AG23:AG24"/>
    <mergeCell ref="AH23:AH24"/>
    <mergeCell ref="F16:F17"/>
    <mergeCell ref="F18:F20"/>
    <mergeCell ref="F23:F24"/>
    <mergeCell ref="AA23:AA24"/>
    <mergeCell ref="AB23:AB24"/>
    <mergeCell ref="AC23:AC24"/>
    <mergeCell ref="AD23:AD24"/>
    <mergeCell ref="AE23:AE24"/>
    <mergeCell ref="V23:V24"/>
    <mergeCell ref="W23:W24"/>
    <mergeCell ref="X23:X24"/>
    <mergeCell ref="Y23:Y24"/>
    <mergeCell ref="Z23:Z24"/>
    <mergeCell ref="Q23:Q24"/>
    <mergeCell ref="R23:R24"/>
    <mergeCell ref="S23:S24"/>
    <mergeCell ref="T23:T24"/>
    <mergeCell ref="U23:U24"/>
    <mergeCell ref="I23:I24"/>
    <mergeCell ref="J23:J24"/>
    <mergeCell ref="K23:K24"/>
    <mergeCell ref="F25:F27"/>
    <mergeCell ref="C5:D5"/>
    <mergeCell ref="C6:D6"/>
    <mergeCell ref="C7:D7"/>
    <mergeCell ref="C8:D8"/>
    <mergeCell ref="C9:D9"/>
    <mergeCell ref="C10:D10"/>
    <mergeCell ref="C11:D11"/>
    <mergeCell ref="E6:F6"/>
    <mergeCell ref="E7:F7"/>
    <mergeCell ref="E8:F8"/>
    <mergeCell ref="E9:F9"/>
    <mergeCell ref="E10:F10"/>
    <mergeCell ref="E11:F11"/>
    <mergeCell ref="E5:F5"/>
  </mergeCells>
  <conditionalFormatting sqref="R15:R16 R28:R29 R18 R21:R23 R25">
    <cfRule type="iconSet" priority="1">
      <iconSet showValue="0">
        <cfvo type="percent" val="0"/>
        <cfvo type="num" val="2"/>
        <cfvo type="num" val="3"/>
      </iconSet>
    </cfRule>
  </conditionalFormatting>
  <pageMargins left="0.7" right="0.7" top="0.75" bottom="0.75" header="0.3" footer="0.3"/>
  <ignoredErrors>
    <ignoredError sqref="L22 C7 E7 H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6AF9-4AA1-0B42-AF4F-046FC4C37DBC}">
  <sheetPr>
    <tabColor theme="8"/>
  </sheetPr>
  <dimension ref="A1:V422"/>
  <sheetViews>
    <sheetView showGridLines="0" zoomScaleNormal="100" workbookViewId="0">
      <pane xSplit="2" ySplit="2" topLeftCell="C150" activePane="bottomRight" state="frozen"/>
      <selection pane="topRight" activeCell="C1" sqref="C1"/>
      <selection pane="bottomLeft" activeCell="A3" sqref="A3"/>
      <selection pane="bottomRight" activeCell="O162" sqref="O162"/>
    </sheetView>
  </sheetViews>
  <sheetFormatPr baseColWidth="10" defaultColWidth="11" defaultRowHeight="16" x14ac:dyDescent="0.2"/>
  <cols>
    <col min="1" max="1" width="3.1640625" customWidth="1"/>
    <col min="2" max="2" width="42.33203125" customWidth="1"/>
    <col min="3" max="3" width="10.1640625" bestFit="1" customWidth="1"/>
    <col min="4" max="4" width="8.83203125" customWidth="1"/>
    <col min="5" max="6" width="14.5" customWidth="1"/>
    <col min="7" max="7" width="14" customWidth="1"/>
    <col min="8" max="8" width="56.1640625" customWidth="1"/>
    <col min="9" max="9" width="20.33203125" customWidth="1"/>
    <col min="10" max="10" width="8.6640625" style="47" customWidth="1"/>
    <col min="11" max="11" width="38.33203125" customWidth="1"/>
    <col min="12" max="12" width="26.83203125" style="134" customWidth="1"/>
    <col min="13" max="13" width="33.5" bestFit="1" customWidth="1"/>
    <col min="14" max="14" width="40.1640625" bestFit="1" customWidth="1"/>
    <col min="15" max="15" width="50.83203125" style="134" customWidth="1"/>
    <col min="16" max="16" width="27.1640625" bestFit="1" customWidth="1"/>
    <col min="17" max="17" width="37" bestFit="1" customWidth="1"/>
    <col min="18" max="18" width="21.83203125" style="134" bestFit="1" customWidth="1"/>
    <col min="19" max="19" width="23.5" bestFit="1" customWidth="1"/>
    <col min="20" max="20" width="19.1640625" customWidth="1"/>
    <col min="21" max="21" width="16.6640625" customWidth="1"/>
    <col min="22" max="22" width="18" customWidth="1"/>
  </cols>
  <sheetData>
    <row r="1" spans="1:22" x14ac:dyDescent="0.2">
      <c r="J1" s="99"/>
    </row>
    <row r="2" spans="1:22" ht="19" x14ac:dyDescent="0.25">
      <c r="B2" s="95" t="s">
        <v>750</v>
      </c>
      <c r="C2" s="96"/>
      <c r="D2" s="96"/>
      <c r="E2" s="96"/>
      <c r="F2" s="96"/>
      <c r="G2" s="96"/>
      <c r="H2" s="96"/>
      <c r="I2" s="96"/>
      <c r="J2" s="96"/>
      <c r="K2" s="96"/>
      <c r="L2" s="139"/>
      <c r="M2" s="96"/>
      <c r="N2" s="96"/>
      <c r="O2" s="139"/>
      <c r="P2" s="96"/>
      <c r="Q2" s="96"/>
      <c r="R2" s="139"/>
      <c r="S2" s="96"/>
      <c r="T2" s="96"/>
      <c r="U2" s="96"/>
      <c r="V2" s="96"/>
    </row>
    <row r="3" spans="1:22" x14ac:dyDescent="0.2">
      <c r="J3" s="99"/>
    </row>
    <row r="4" spans="1:22" ht="17" x14ac:dyDescent="0.2">
      <c r="B4" s="105" t="s">
        <v>0</v>
      </c>
      <c r="C4" s="97"/>
      <c r="D4" s="97"/>
      <c r="E4" s="97"/>
      <c r="F4" s="97"/>
      <c r="G4" s="97"/>
      <c r="H4" s="97"/>
      <c r="I4" s="97"/>
      <c r="J4" s="276"/>
      <c r="K4" s="97"/>
      <c r="L4" s="140"/>
      <c r="M4" s="97"/>
      <c r="N4" s="97"/>
      <c r="O4" s="140"/>
      <c r="P4" s="97"/>
      <c r="Q4" s="97"/>
      <c r="R4" s="140"/>
      <c r="S4" s="97"/>
      <c r="T4" s="97"/>
      <c r="U4" s="97"/>
      <c r="V4" s="97"/>
    </row>
    <row r="5" spans="1:22" x14ac:dyDescent="0.2">
      <c r="B5" s="216"/>
      <c r="I5" s="28"/>
      <c r="K5" s="28"/>
    </row>
    <row r="6" spans="1:22" x14ac:dyDescent="0.2">
      <c r="A6" s="28"/>
      <c r="B6" s="16" t="s">
        <v>578</v>
      </c>
      <c r="C6" s="11" t="s">
        <v>248</v>
      </c>
      <c r="D6" s="19" t="s">
        <v>63</v>
      </c>
      <c r="E6" t="s">
        <v>284</v>
      </c>
      <c r="F6" t="s">
        <v>285</v>
      </c>
      <c r="G6" t="s">
        <v>286</v>
      </c>
      <c r="H6" s="11" t="s">
        <v>244</v>
      </c>
      <c r="I6" s="11" t="s">
        <v>270</v>
      </c>
      <c r="J6" s="26" t="s">
        <v>271</v>
      </c>
      <c r="K6" s="11" t="s">
        <v>235</v>
      </c>
      <c r="L6" s="12" t="s">
        <v>236</v>
      </c>
      <c r="M6" s="11" t="s">
        <v>237</v>
      </c>
      <c r="N6" s="11" t="s">
        <v>238</v>
      </c>
      <c r="O6" s="12" t="s">
        <v>239</v>
      </c>
      <c r="P6" s="11" t="s">
        <v>240</v>
      </c>
      <c r="Q6" s="11" t="s">
        <v>241</v>
      </c>
      <c r="R6" s="2" t="s">
        <v>242</v>
      </c>
      <c r="S6" s="13" t="s">
        <v>243</v>
      </c>
      <c r="T6" s="127" t="s">
        <v>245</v>
      </c>
      <c r="U6" s="127" t="s">
        <v>272</v>
      </c>
      <c r="V6" s="127" t="s">
        <v>247</v>
      </c>
    </row>
    <row r="7" spans="1:22" x14ac:dyDescent="0.2">
      <c r="A7" s="28"/>
      <c r="B7" s="29" t="s">
        <v>22</v>
      </c>
      <c r="C7" s="21" t="s">
        <v>30</v>
      </c>
      <c r="D7" s="15"/>
      <c r="E7" s="44">
        <v>50</v>
      </c>
      <c r="F7" s="44"/>
      <c r="G7" s="44"/>
      <c r="I7" s="28" t="s">
        <v>275</v>
      </c>
      <c r="J7" s="166">
        <v>2</v>
      </c>
      <c r="K7" t="s">
        <v>306</v>
      </c>
      <c r="L7" s="134">
        <v>50</v>
      </c>
      <c r="M7" t="s">
        <v>308</v>
      </c>
    </row>
    <row r="8" spans="1:22" x14ac:dyDescent="0.2">
      <c r="A8" s="28"/>
      <c r="B8" s="29" t="s">
        <v>793</v>
      </c>
      <c r="C8" s="21" t="s">
        <v>30</v>
      </c>
      <c r="D8" s="15"/>
      <c r="E8" s="44">
        <v>50</v>
      </c>
      <c r="F8" s="44"/>
      <c r="G8" s="44"/>
      <c r="H8" s="28"/>
      <c r="I8" s="28" t="s">
        <v>275</v>
      </c>
      <c r="J8" s="166">
        <v>2</v>
      </c>
      <c r="K8" t="s">
        <v>306</v>
      </c>
      <c r="L8" s="134">
        <v>50</v>
      </c>
      <c r="M8" t="s">
        <v>308</v>
      </c>
    </row>
    <row r="9" spans="1:22" x14ac:dyDescent="0.2">
      <c r="B9" s="29" t="s">
        <v>274</v>
      </c>
      <c r="C9" s="21" t="s">
        <v>30</v>
      </c>
      <c r="D9" s="15"/>
      <c r="E9" s="44">
        <v>50</v>
      </c>
      <c r="F9" s="44"/>
      <c r="G9" s="44"/>
      <c r="H9" s="28"/>
      <c r="I9" s="28" t="s">
        <v>275</v>
      </c>
      <c r="J9" s="166">
        <v>2</v>
      </c>
      <c r="K9" t="s">
        <v>306</v>
      </c>
      <c r="L9" s="134">
        <v>50</v>
      </c>
      <c r="M9" t="s">
        <v>308</v>
      </c>
    </row>
    <row r="10" spans="1:22" x14ac:dyDescent="0.2">
      <c r="B10" s="29" t="s">
        <v>276</v>
      </c>
      <c r="C10" s="21" t="s">
        <v>30</v>
      </c>
      <c r="D10" s="15"/>
      <c r="E10" s="44">
        <v>50</v>
      </c>
      <c r="F10" s="44"/>
      <c r="G10" s="44"/>
      <c r="I10" s="28" t="s">
        <v>275</v>
      </c>
      <c r="J10" s="166">
        <v>2</v>
      </c>
      <c r="K10" t="s">
        <v>306</v>
      </c>
      <c r="L10" s="134">
        <v>50</v>
      </c>
      <c r="M10" t="s">
        <v>308</v>
      </c>
    </row>
    <row r="11" spans="1:22" x14ac:dyDescent="0.2">
      <c r="B11" s="29" t="s">
        <v>277</v>
      </c>
      <c r="C11" s="21" t="s">
        <v>30</v>
      </c>
      <c r="D11" s="15"/>
      <c r="E11" s="44">
        <v>50</v>
      </c>
      <c r="F11" s="44"/>
      <c r="G11" s="44"/>
      <c r="I11" s="28" t="s">
        <v>275</v>
      </c>
      <c r="J11" s="166">
        <v>2</v>
      </c>
      <c r="K11" t="s">
        <v>306</v>
      </c>
      <c r="L11" s="134">
        <v>50</v>
      </c>
      <c r="M11" t="s">
        <v>308</v>
      </c>
    </row>
    <row r="12" spans="1:22" x14ac:dyDescent="0.2">
      <c r="B12" s="29" t="s">
        <v>278</v>
      </c>
      <c r="C12" s="21" t="s">
        <v>30</v>
      </c>
      <c r="D12" s="15"/>
      <c r="E12" s="44">
        <v>50</v>
      </c>
      <c r="F12" s="44"/>
      <c r="G12" s="44"/>
      <c r="I12" s="28" t="s">
        <v>275</v>
      </c>
      <c r="J12" s="166">
        <v>2</v>
      </c>
      <c r="K12" t="s">
        <v>306</v>
      </c>
      <c r="L12" s="134">
        <v>50</v>
      </c>
      <c r="M12" t="s">
        <v>308</v>
      </c>
    </row>
    <row r="13" spans="1:22" x14ac:dyDescent="0.2">
      <c r="B13" s="29" t="s">
        <v>53</v>
      </c>
      <c r="C13" s="21" t="s">
        <v>30</v>
      </c>
      <c r="D13" s="15"/>
      <c r="E13" s="44">
        <v>50</v>
      </c>
      <c r="F13" s="44"/>
      <c r="G13" s="44"/>
      <c r="I13" s="28" t="s">
        <v>275</v>
      </c>
      <c r="J13" s="166">
        <v>2</v>
      </c>
      <c r="K13" t="s">
        <v>306</v>
      </c>
      <c r="L13" s="134">
        <v>50</v>
      </c>
      <c r="M13" t="s">
        <v>308</v>
      </c>
    </row>
    <row r="14" spans="1:22" x14ac:dyDescent="0.2">
      <c r="B14" s="29" t="s">
        <v>279</v>
      </c>
      <c r="C14" s="21" t="s">
        <v>30</v>
      </c>
      <c r="D14" s="15"/>
      <c r="E14" s="44">
        <v>50</v>
      </c>
      <c r="F14" s="44"/>
      <c r="G14" s="44"/>
      <c r="I14" s="28" t="s">
        <v>275</v>
      </c>
      <c r="J14" s="166">
        <v>2</v>
      </c>
      <c r="K14" t="s">
        <v>306</v>
      </c>
      <c r="L14" s="134">
        <v>50</v>
      </c>
      <c r="M14" t="s">
        <v>308</v>
      </c>
    </row>
    <row r="15" spans="1:22" x14ac:dyDescent="0.2">
      <c r="B15" s="29" t="s">
        <v>792</v>
      </c>
      <c r="C15" s="21" t="s">
        <v>30</v>
      </c>
      <c r="D15" s="15"/>
      <c r="E15" s="44">
        <v>50</v>
      </c>
      <c r="F15" s="44"/>
      <c r="G15" s="44"/>
      <c r="I15" s="28" t="s">
        <v>275</v>
      </c>
      <c r="J15" s="166">
        <v>2</v>
      </c>
      <c r="K15" t="s">
        <v>306</v>
      </c>
      <c r="L15" s="134">
        <v>50</v>
      </c>
      <c r="M15" t="s">
        <v>308</v>
      </c>
    </row>
    <row r="16" spans="1:22" x14ac:dyDescent="0.2">
      <c r="B16" s="29" t="s">
        <v>280</v>
      </c>
      <c r="C16" s="21" t="s">
        <v>30</v>
      </c>
      <c r="D16" s="15"/>
      <c r="E16" s="44">
        <v>50</v>
      </c>
      <c r="F16" s="44"/>
      <c r="G16" s="44"/>
      <c r="I16" s="28" t="s">
        <v>275</v>
      </c>
      <c r="J16" s="166">
        <v>2</v>
      </c>
      <c r="K16" t="s">
        <v>306</v>
      </c>
      <c r="L16" s="134">
        <v>50</v>
      </c>
      <c r="M16" t="s">
        <v>308</v>
      </c>
    </row>
    <row r="17" spans="1:22" x14ac:dyDescent="0.2">
      <c r="B17" s="29" t="s">
        <v>281</v>
      </c>
      <c r="C17" s="21" t="s">
        <v>30</v>
      </c>
      <c r="D17" s="15"/>
      <c r="E17" s="44">
        <v>50</v>
      </c>
      <c r="F17" s="44"/>
      <c r="G17" s="44"/>
      <c r="I17" s="28" t="s">
        <v>275</v>
      </c>
      <c r="J17" s="166">
        <v>2</v>
      </c>
      <c r="K17" t="s">
        <v>306</v>
      </c>
      <c r="L17" s="134">
        <v>50</v>
      </c>
      <c r="M17" t="s">
        <v>308</v>
      </c>
    </row>
    <row r="18" spans="1:22" x14ac:dyDescent="0.2">
      <c r="B18" s="29" t="s">
        <v>282</v>
      </c>
      <c r="C18" s="21" t="s">
        <v>30</v>
      </c>
      <c r="D18" s="15"/>
      <c r="E18" s="44">
        <v>50</v>
      </c>
      <c r="F18" s="44"/>
      <c r="G18" s="44"/>
      <c r="I18" s="28" t="s">
        <v>275</v>
      </c>
      <c r="J18" s="166">
        <v>2</v>
      </c>
      <c r="K18" t="s">
        <v>306</v>
      </c>
      <c r="L18" s="134">
        <v>50</v>
      </c>
      <c r="M18" t="s">
        <v>308</v>
      </c>
    </row>
    <row r="19" spans="1:22" x14ac:dyDescent="0.2">
      <c r="B19" s="29" t="s">
        <v>283</v>
      </c>
      <c r="C19" s="21" t="s">
        <v>30</v>
      </c>
      <c r="D19" s="15"/>
      <c r="E19" s="44">
        <v>50</v>
      </c>
      <c r="F19" s="44"/>
      <c r="G19" s="44"/>
      <c r="I19" s="28" t="s">
        <v>275</v>
      </c>
      <c r="J19" s="166">
        <v>2</v>
      </c>
      <c r="K19" t="s">
        <v>306</v>
      </c>
      <c r="L19" s="134">
        <v>50</v>
      </c>
      <c r="M19" t="s">
        <v>308</v>
      </c>
    </row>
    <row r="20" spans="1:22" x14ac:dyDescent="0.2">
      <c r="B20" s="29" t="s">
        <v>794</v>
      </c>
      <c r="C20" s="21" t="s">
        <v>30</v>
      </c>
      <c r="D20" s="307"/>
      <c r="E20" s="44">
        <v>50</v>
      </c>
      <c r="F20" s="44"/>
      <c r="G20" s="44"/>
      <c r="I20" s="28" t="s">
        <v>275</v>
      </c>
      <c r="J20" s="166">
        <v>2</v>
      </c>
      <c r="K20" t="s">
        <v>306</v>
      </c>
      <c r="L20" s="134">
        <v>50</v>
      </c>
      <c r="M20" t="s">
        <v>308</v>
      </c>
    </row>
    <row r="21" spans="1:22" x14ac:dyDescent="0.2">
      <c r="I21" s="277"/>
      <c r="J21"/>
      <c r="K21" s="149"/>
      <c r="L21"/>
      <c r="M21" s="1"/>
      <c r="N21" s="2"/>
      <c r="O21" s="1"/>
      <c r="P21" s="1"/>
      <c r="Q21" s="2"/>
      <c r="R21" s="1"/>
      <c r="S21" s="128"/>
      <c r="T21" s="128"/>
      <c r="U21" s="128"/>
    </row>
    <row r="22" spans="1:22" x14ac:dyDescent="0.2">
      <c r="A22" s="28"/>
      <c r="B22" s="16" t="s">
        <v>577</v>
      </c>
      <c r="C22" s="11" t="s">
        <v>248</v>
      </c>
      <c r="D22" s="19" t="s">
        <v>63</v>
      </c>
      <c r="E22" t="s">
        <v>268</v>
      </c>
      <c r="F22" t="s">
        <v>269</v>
      </c>
      <c r="G22" t="s">
        <v>39</v>
      </c>
      <c r="H22" s="11" t="s">
        <v>244</v>
      </c>
      <c r="I22" s="11" t="s">
        <v>270</v>
      </c>
      <c r="J22" s="26" t="s">
        <v>271</v>
      </c>
      <c r="K22" s="11" t="s">
        <v>235</v>
      </c>
      <c r="L22" s="12" t="s">
        <v>236</v>
      </c>
      <c r="M22" s="11" t="s">
        <v>237</v>
      </c>
      <c r="N22" s="11" t="s">
        <v>238</v>
      </c>
      <c r="O22" s="12" t="s">
        <v>239</v>
      </c>
      <c r="P22" s="11" t="s">
        <v>240</v>
      </c>
      <c r="Q22" s="11" t="s">
        <v>241</v>
      </c>
      <c r="R22" s="2" t="s">
        <v>242</v>
      </c>
      <c r="S22" s="13" t="s">
        <v>243</v>
      </c>
      <c r="T22" s="127" t="s">
        <v>245</v>
      </c>
      <c r="U22" s="127" t="s">
        <v>272</v>
      </c>
      <c r="V22" s="127" t="s">
        <v>247</v>
      </c>
    </row>
    <row r="23" spans="1:22" x14ac:dyDescent="0.2">
      <c r="A23" s="28"/>
      <c r="B23" s="29" t="str">
        <f>B7</f>
        <v xml:space="preserve">Bouwhoek en Hogeland </v>
      </c>
      <c r="C23" s="21" t="s">
        <v>580</v>
      </c>
      <c r="D23" s="15"/>
      <c r="E23" s="44">
        <v>30</v>
      </c>
      <c r="F23" s="44">
        <v>15</v>
      </c>
      <c r="G23" s="44">
        <f t="shared" ref="G23:G36" si="0">E23-F23</f>
        <v>15</v>
      </c>
      <c r="H23" t="s">
        <v>671</v>
      </c>
      <c r="I23" s="28" t="s">
        <v>348</v>
      </c>
      <c r="J23" s="166">
        <v>1</v>
      </c>
      <c r="K23" t="s">
        <v>657</v>
      </c>
      <c r="L23" s="134" t="s">
        <v>669</v>
      </c>
      <c r="M23" t="s">
        <v>658</v>
      </c>
    </row>
    <row r="24" spans="1:22" x14ac:dyDescent="0.2">
      <c r="A24" s="28"/>
      <c r="B24" s="29" t="str">
        <f t="shared" ref="B24:B36" si="1">B8</f>
        <v xml:space="preserve">Veenkoloniën en Oldambt </v>
      </c>
      <c r="C24" s="21" t="s">
        <v>580</v>
      </c>
      <c r="D24" s="15"/>
      <c r="E24" s="44">
        <v>30</v>
      </c>
      <c r="F24" s="44">
        <v>15</v>
      </c>
      <c r="G24" s="44">
        <f t="shared" si="0"/>
        <v>15</v>
      </c>
      <c r="H24" t="s">
        <v>662</v>
      </c>
      <c r="I24" s="28" t="s">
        <v>348</v>
      </c>
      <c r="J24" s="166">
        <v>1</v>
      </c>
      <c r="K24" t="s">
        <v>657</v>
      </c>
      <c r="L24" s="134" t="s">
        <v>669</v>
      </c>
      <c r="M24" t="s">
        <v>658</v>
      </c>
    </row>
    <row r="25" spans="1:22" x14ac:dyDescent="0.2">
      <c r="B25" s="29" t="str">
        <f t="shared" si="1"/>
        <v>Noordelijk weidegebied</v>
      </c>
      <c r="C25" s="21" t="s">
        <v>580</v>
      </c>
      <c r="D25" s="15"/>
      <c r="E25" s="44">
        <v>30</v>
      </c>
      <c r="F25" s="44">
        <v>15</v>
      </c>
      <c r="G25" s="44">
        <f>E25-F25</f>
        <v>15</v>
      </c>
      <c r="H25" t="s">
        <v>661</v>
      </c>
      <c r="I25" s="28" t="s">
        <v>348</v>
      </c>
      <c r="J25" s="166">
        <v>1</v>
      </c>
      <c r="K25" t="s">
        <v>657</v>
      </c>
      <c r="L25" s="134" t="s">
        <v>669</v>
      </c>
      <c r="M25" t="s">
        <v>658</v>
      </c>
    </row>
    <row r="26" spans="1:22" x14ac:dyDescent="0.2">
      <c r="B26" s="29" t="str">
        <f t="shared" si="1"/>
        <v xml:space="preserve">Oostelijk veehouderijgebied </v>
      </c>
      <c r="C26" s="21" t="s">
        <v>580</v>
      </c>
      <c r="D26" s="15"/>
      <c r="E26" s="44">
        <v>30</v>
      </c>
      <c r="F26" s="44">
        <v>15</v>
      </c>
      <c r="G26" s="44">
        <f t="shared" si="0"/>
        <v>15</v>
      </c>
      <c r="H26" t="s">
        <v>663</v>
      </c>
      <c r="I26" s="28" t="s">
        <v>348</v>
      </c>
      <c r="J26" s="166">
        <v>1</v>
      </c>
      <c r="K26" t="s">
        <v>657</v>
      </c>
      <c r="L26" s="134" t="s">
        <v>669</v>
      </c>
      <c r="M26" t="s">
        <v>658</v>
      </c>
    </row>
    <row r="27" spans="1:22" x14ac:dyDescent="0.2">
      <c r="B27" s="29" t="str">
        <f t="shared" si="1"/>
        <v xml:space="preserve">Centraal veehouderijgebied </v>
      </c>
      <c r="C27" s="21" t="s">
        <v>580</v>
      </c>
      <c r="D27" s="15"/>
      <c r="E27" s="44">
        <v>30</v>
      </c>
      <c r="F27" s="44">
        <v>15</v>
      </c>
      <c r="G27" s="44">
        <f t="shared" si="0"/>
        <v>15</v>
      </c>
      <c r="H27" t="s">
        <v>664</v>
      </c>
      <c r="I27" s="28" t="s">
        <v>348</v>
      </c>
      <c r="J27" s="166">
        <v>1</v>
      </c>
      <c r="K27" t="s">
        <v>657</v>
      </c>
      <c r="L27" s="134" t="s">
        <v>669</v>
      </c>
      <c r="M27" t="s">
        <v>658</v>
      </c>
    </row>
    <row r="28" spans="1:22" x14ac:dyDescent="0.2">
      <c r="B28" s="29" t="str">
        <f t="shared" si="1"/>
        <v xml:space="preserve">IJsselmeerpolders </v>
      </c>
      <c r="C28" s="21" t="s">
        <v>580</v>
      </c>
      <c r="D28" s="15"/>
      <c r="E28" s="44">
        <v>30</v>
      </c>
      <c r="F28" s="44">
        <v>15</v>
      </c>
      <c r="G28" s="44">
        <f t="shared" si="0"/>
        <v>15</v>
      </c>
      <c r="H28" t="s">
        <v>667</v>
      </c>
      <c r="I28" s="28" t="s">
        <v>348</v>
      </c>
      <c r="J28" s="166">
        <v>1</v>
      </c>
      <c r="K28" t="s">
        <v>657</v>
      </c>
      <c r="L28" s="134" t="s">
        <v>669</v>
      </c>
      <c r="M28" t="s">
        <v>658</v>
      </c>
    </row>
    <row r="29" spans="1:22" x14ac:dyDescent="0.2">
      <c r="B29" s="29" t="str">
        <f t="shared" si="1"/>
        <v xml:space="preserve">Westelijk Holland </v>
      </c>
      <c r="C29" s="21" t="s">
        <v>580</v>
      </c>
      <c r="D29" s="15"/>
      <c r="E29" s="44">
        <v>30</v>
      </c>
      <c r="F29" s="44">
        <v>15</v>
      </c>
      <c r="G29" s="44">
        <f t="shared" si="0"/>
        <v>15</v>
      </c>
      <c r="H29" s="28" t="s">
        <v>668</v>
      </c>
      <c r="I29" s="28" t="s">
        <v>348</v>
      </c>
      <c r="J29" s="166">
        <v>1</v>
      </c>
      <c r="K29" t="s">
        <v>657</v>
      </c>
      <c r="L29" s="134" t="s">
        <v>669</v>
      </c>
      <c r="M29" t="s">
        <v>658</v>
      </c>
    </row>
    <row r="30" spans="1:22" x14ac:dyDescent="0.2">
      <c r="B30" s="29" t="str">
        <f t="shared" si="1"/>
        <v xml:space="preserve">Waterland en Droogmakerijen </v>
      </c>
      <c r="C30" s="21" t="s">
        <v>580</v>
      </c>
      <c r="D30" s="15"/>
      <c r="E30" s="44">
        <v>30</v>
      </c>
      <c r="F30" s="44">
        <v>15</v>
      </c>
      <c r="G30" s="44">
        <f t="shared" si="0"/>
        <v>15</v>
      </c>
      <c r="H30" t="s">
        <v>659</v>
      </c>
      <c r="I30" s="28" t="s">
        <v>348</v>
      </c>
      <c r="J30" s="166">
        <v>1</v>
      </c>
      <c r="K30" t="s">
        <v>657</v>
      </c>
      <c r="L30" s="134" t="s">
        <v>669</v>
      </c>
      <c r="M30" t="s">
        <v>658</v>
      </c>
    </row>
    <row r="31" spans="1:22" x14ac:dyDescent="0.2">
      <c r="B31" s="29" t="str">
        <f t="shared" si="1"/>
        <v xml:space="preserve">Hollands/Utrechts weidegebied </v>
      </c>
      <c r="C31" s="21" t="s">
        <v>580</v>
      </c>
      <c r="D31" s="15"/>
      <c r="E31" s="44">
        <v>30</v>
      </c>
      <c r="F31" s="44">
        <v>15</v>
      </c>
      <c r="G31" s="44">
        <f t="shared" si="0"/>
        <v>15</v>
      </c>
      <c r="H31" t="s">
        <v>660</v>
      </c>
      <c r="I31" s="28" t="s">
        <v>348</v>
      </c>
      <c r="J31" s="166">
        <v>1</v>
      </c>
      <c r="K31" t="s">
        <v>657</v>
      </c>
      <c r="L31" s="134" t="s">
        <v>669</v>
      </c>
      <c r="M31" t="s">
        <v>658</v>
      </c>
    </row>
    <row r="32" spans="1:22" x14ac:dyDescent="0.2">
      <c r="B32" s="29" t="str">
        <f t="shared" si="1"/>
        <v xml:space="preserve">Rivierengebied </v>
      </c>
      <c r="C32" s="21" t="s">
        <v>580</v>
      </c>
      <c r="D32" s="15"/>
      <c r="E32" s="44">
        <v>30</v>
      </c>
      <c r="F32" s="44">
        <v>15</v>
      </c>
      <c r="G32" s="44">
        <f t="shared" si="0"/>
        <v>15</v>
      </c>
      <c r="H32" t="s">
        <v>665</v>
      </c>
      <c r="I32" s="28" t="s">
        <v>348</v>
      </c>
      <c r="J32" s="166">
        <v>1</v>
      </c>
      <c r="K32" t="s">
        <v>657</v>
      </c>
      <c r="L32" s="134" t="s">
        <v>669</v>
      </c>
      <c r="M32" t="s">
        <v>658</v>
      </c>
    </row>
    <row r="33" spans="1:22" x14ac:dyDescent="0.2">
      <c r="B33" s="29" t="str">
        <f t="shared" si="1"/>
        <v xml:space="preserve">Zuidwestelijk akkerbouwgebied </v>
      </c>
      <c r="C33" s="21" t="s">
        <v>580</v>
      </c>
      <c r="D33" s="15"/>
      <c r="E33" s="44">
        <v>30</v>
      </c>
      <c r="F33" s="44">
        <v>15</v>
      </c>
      <c r="G33" s="44">
        <f t="shared" si="0"/>
        <v>15</v>
      </c>
      <c r="H33" t="s">
        <v>666</v>
      </c>
      <c r="I33" s="28" t="s">
        <v>348</v>
      </c>
      <c r="J33" s="166">
        <v>1</v>
      </c>
      <c r="K33" t="s">
        <v>657</v>
      </c>
      <c r="L33" s="134" t="s">
        <v>669</v>
      </c>
      <c r="M33" t="s">
        <v>658</v>
      </c>
    </row>
    <row r="34" spans="1:22" x14ac:dyDescent="0.2">
      <c r="B34" s="29" t="str">
        <f t="shared" si="1"/>
        <v xml:space="preserve">Zuidwest Brabant </v>
      </c>
      <c r="C34" s="21" t="s">
        <v>580</v>
      </c>
      <c r="D34" s="15"/>
      <c r="E34" s="44">
        <v>30</v>
      </c>
      <c r="F34" s="44">
        <v>15</v>
      </c>
      <c r="G34" s="44">
        <f t="shared" si="0"/>
        <v>15</v>
      </c>
      <c r="H34" t="s">
        <v>670</v>
      </c>
      <c r="I34" s="28" t="s">
        <v>348</v>
      </c>
      <c r="J34" s="166">
        <v>1</v>
      </c>
      <c r="K34" t="s">
        <v>657</v>
      </c>
      <c r="L34" s="134" t="s">
        <v>669</v>
      </c>
      <c r="M34" t="s">
        <v>658</v>
      </c>
    </row>
    <row r="35" spans="1:22" x14ac:dyDescent="0.2">
      <c r="B35" s="29" t="str">
        <f t="shared" si="1"/>
        <v xml:space="preserve">Zuidelijk veehouderijgebied </v>
      </c>
      <c r="C35" s="21" t="s">
        <v>580</v>
      </c>
      <c r="D35" s="15"/>
      <c r="E35" s="44">
        <v>30</v>
      </c>
      <c r="F35" s="44">
        <v>15</v>
      </c>
      <c r="G35" s="44">
        <f t="shared" si="0"/>
        <v>15</v>
      </c>
      <c r="H35" t="s">
        <v>672</v>
      </c>
      <c r="I35" s="28" t="s">
        <v>348</v>
      </c>
      <c r="J35" s="166">
        <v>1</v>
      </c>
      <c r="K35" t="s">
        <v>657</v>
      </c>
      <c r="L35" s="134" t="s">
        <v>669</v>
      </c>
      <c r="M35" t="s">
        <v>658</v>
      </c>
    </row>
    <row r="36" spans="1:22" x14ac:dyDescent="0.2">
      <c r="B36" s="29" t="str">
        <f t="shared" si="1"/>
        <v>Zuid-Limburg</v>
      </c>
      <c r="C36" s="21" t="s">
        <v>580</v>
      </c>
      <c r="D36" s="307"/>
      <c r="E36" s="44">
        <v>30</v>
      </c>
      <c r="F36" s="44">
        <v>15</v>
      </c>
      <c r="G36" s="44">
        <f t="shared" si="0"/>
        <v>15</v>
      </c>
      <c r="I36" s="28" t="s">
        <v>348</v>
      </c>
      <c r="J36" s="166">
        <v>1</v>
      </c>
      <c r="K36" t="s">
        <v>657</v>
      </c>
      <c r="L36" s="134" t="s">
        <v>669</v>
      </c>
      <c r="M36" t="s">
        <v>658</v>
      </c>
    </row>
    <row r="37" spans="1:22" x14ac:dyDescent="0.2">
      <c r="I37" s="277"/>
      <c r="J37"/>
      <c r="K37" s="149"/>
      <c r="L37"/>
      <c r="M37" s="1"/>
      <c r="N37" s="2"/>
      <c r="O37" s="1"/>
      <c r="P37" s="1"/>
      <c r="Q37" s="2"/>
      <c r="R37" s="1"/>
      <c r="S37" s="128"/>
      <c r="T37" s="128"/>
      <c r="U37" s="128"/>
    </row>
    <row r="38" spans="1:22" x14ac:dyDescent="0.2">
      <c r="A38" s="28"/>
      <c r="B38" s="16" t="s">
        <v>287</v>
      </c>
      <c r="C38" s="11" t="s">
        <v>248</v>
      </c>
      <c r="D38" s="19" t="s">
        <v>288</v>
      </c>
      <c r="E38" t="s">
        <v>285</v>
      </c>
      <c r="F38" t="s">
        <v>676</v>
      </c>
      <c r="G38" t="s">
        <v>289</v>
      </c>
      <c r="H38" s="11" t="s">
        <v>244</v>
      </c>
      <c r="I38" s="11" t="s">
        <v>270</v>
      </c>
      <c r="J38" s="26" t="s">
        <v>271</v>
      </c>
      <c r="K38" s="11" t="s">
        <v>235</v>
      </c>
      <c r="L38" s="12" t="s">
        <v>236</v>
      </c>
      <c r="M38" s="11" t="s">
        <v>237</v>
      </c>
      <c r="N38" s="11" t="s">
        <v>238</v>
      </c>
      <c r="O38" s="12" t="s">
        <v>239</v>
      </c>
      <c r="P38" s="11" t="s">
        <v>240</v>
      </c>
      <c r="Q38" s="11" t="s">
        <v>241</v>
      </c>
      <c r="R38" s="2" t="s">
        <v>242</v>
      </c>
      <c r="S38" s="13" t="s">
        <v>243</v>
      </c>
      <c r="T38" s="127" t="s">
        <v>245</v>
      </c>
      <c r="U38" s="127" t="s">
        <v>272</v>
      </c>
      <c r="V38" s="127" t="s">
        <v>247</v>
      </c>
    </row>
    <row r="39" spans="1:22" x14ac:dyDescent="0.2">
      <c r="A39" s="28"/>
      <c r="B39" s="29" t="s">
        <v>31</v>
      </c>
      <c r="C39" s="29" t="s">
        <v>273</v>
      </c>
      <c r="D39" s="15"/>
      <c r="E39" s="44"/>
      <c r="F39" s="310">
        <v>3.83</v>
      </c>
      <c r="G39" s="310">
        <v>2.56</v>
      </c>
      <c r="I39" t="s">
        <v>348</v>
      </c>
      <c r="J39" s="166">
        <v>1</v>
      </c>
      <c r="K39" s="203" t="s">
        <v>674</v>
      </c>
      <c r="L39" s="134" t="s">
        <v>677</v>
      </c>
      <c r="M39" t="s">
        <v>675</v>
      </c>
    </row>
    <row r="40" spans="1:22" x14ac:dyDescent="0.2">
      <c r="A40" s="28"/>
      <c r="B40" s="29" t="s">
        <v>291</v>
      </c>
      <c r="C40" s="29" t="s">
        <v>273</v>
      </c>
      <c r="D40" s="15"/>
      <c r="E40" s="44"/>
      <c r="F40" s="310">
        <v>7.41</v>
      </c>
      <c r="G40" s="310">
        <v>0.21</v>
      </c>
      <c r="I40" t="s">
        <v>348</v>
      </c>
      <c r="J40" s="166">
        <v>1</v>
      </c>
      <c r="K40" s="203" t="s">
        <v>674</v>
      </c>
      <c r="L40" s="134" t="s">
        <v>678</v>
      </c>
      <c r="M40" t="s">
        <v>675</v>
      </c>
    </row>
    <row r="41" spans="1:22" x14ac:dyDescent="0.2">
      <c r="B41" s="29" t="s">
        <v>292</v>
      </c>
      <c r="C41" s="29" t="s">
        <v>273</v>
      </c>
      <c r="D41" s="15"/>
      <c r="E41" s="44"/>
      <c r="F41" s="310">
        <v>2.2999999999999998</v>
      </c>
      <c r="G41" s="310">
        <v>1.99</v>
      </c>
      <c r="H41" s="28"/>
      <c r="I41" t="s">
        <v>348</v>
      </c>
      <c r="J41" s="166">
        <v>1</v>
      </c>
      <c r="K41" s="203" t="s">
        <v>674</v>
      </c>
      <c r="L41" s="134" t="s">
        <v>679</v>
      </c>
      <c r="M41" t="s">
        <v>675</v>
      </c>
    </row>
    <row r="42" spans="1:22" x14ac:dyDescent="0.2">
      <c r="B42" s="29" t="s">
        <v>293</v>
      </c>
      <c r="C42" s="29" t="s">
        <v>273</v>
      </c>
      <c r="D42" s="15"/>
      <c r="E42" s="44"/>
      <c r="F42" s="310">
        <v>3.7</v>
      </c>
      <c r="G42" s="310">
        <v>1.19</v>
      </c>
      <c r="H42" s="28"/>
      <c r="I42" t="s">
        <v>348</v>
      </c>
      <c r="J42" s="166">
        <v>1</v>
      </c>
      <c r="K42" s="203" t="s">
        <v>674</v>
      </c>
      <c r="L42" s="134" t="s">
        <v>680</v>
      </c>
      <c r="M42" t="s">
        <v>675</v>
      </c>
    </row>
    <row r="43" spans="1:22" x14ac:dyDescent="0.2">
      <c r="B43" s="29"/>
      <c r="C43" s="29"/>
      <c r="D43" s="15"/>
      <c r="E43" s="44"/>
      <c r="F43" s="310"/>
      <c r="G43" s="310"/>
      <c r="H43" s="28"/>
      <c r="J43" s="166"/>
    </row>
    <row r="44" spans="1:22" x14ac:dyDescent="0.2">
      <c r="A44" s="28"/>
      <c r="B44" s="16" t="s">
        <v>294</v>
      </c>
      <c r="C44" s="11" t="s">
        <v>248</v>
      </c>
      <c r="D44" s="19" t="s">
        <v>288</v>
      </c>
      <c r="E44" t="s">
        <v>676</v>
      </c>
      <c r="F44" t="s">
        <v>295</v>
      </c>
      <c r="G44" t="s">
        <v>289</v>
      </c>
      <c r="H44" s="11" t="s">
        <v>244</v>
      </c>
      <c r="I44" s="11" t="s">
        <v>270</v>
      </c>
      <c r="J44" s="26" t="s">
        <v>271</v>
      </c>
      <c r="K44" s="11" t="s">
        <v>235</v>
      </c>
      <c r="L44" s="12" t="s">
        <v>236</v>
      </c>
      <c r="M44" s="11" t="s">
        <v>237</v>
      </c>
      <c r="N44" s="11" t="s">
        <v>238</v>
      </c>
      <c r="O44" s="12" t="s">
        <v>239</v>
      </c>
      <c r="P44" s="11" t="s">
        <v>240</v>
      </c>
      <c r="Q44" s="11" t="s">
        <v>241</v>
      </c>
      <c r="R44" s="2" t="s">
        <v>242</v>
      </c>
      <c r="S44" s="13" t="s">
        <v>243</v>
      </c>
      <c r="T44" s="127" t="s">
        <v>245</v>
      </c>
      <c r="U44" s="127" t="s">
        <v>272</v>
      </c>
      <c r="V44" s="127" t="s">
        <v>247</v>
      </c>
    </row>
    <row r="45" spans="1:22" x14ac:dyDescent="0.2">
      <c r="A45" s="28"/>
      <c r="B45" s="29" t="str">
        <f>B39</f>
        <v>Veen - zonder onderwaterdrainage</v>
      </c>
      <c r="C45" s="29" t="s">
        <v>273</v>
      </c>
      <c r="D45" s="15"/>
      <c r="E45" s="311">
        <v>-3.52</v>
      </c>
      <c r="F45" s="312">
        <v>3.97</v>
      </c>
      <c r="G45" s="312">
        <v>0.34</v>
      </c>
      <c r="I45" t="s">
        <v>348</v>
      </c>
      <c r="J45" s="166">
        <v>1</v>
      </c>
      <c r="K45" s="203" t="s">
        <v>674</v>
      </c>
      <c r="L45" s="134" t="s">
        <v>681</v>
      </c>
      <c r="M45" t="s">
        <v>675</v>
      </c>
    </row>
    <row r="46" spans="1:22" x14ac:dyDescent="0.2">
      <c r="A46" s="28"/>
      <c r="B46" s="29" t="str">
        <f t="shared" ref="B46:B48" si="2">B40</f>
        <v>Veen - met onderwaterdrainage</v>
      </c>
      <c r="C46" s="29" t="s">
        <v>273</v>
      </c>
      <c r="D46" s="15"/>
      <c r="E46" s="311">
        <v>-3.03</v>
      </c>
      <c r="F46" s="312">
        <v>4.12</v>
      </c>
      <c r="G46" s="312">
        <v>0.06</v>
      </c>
      <c r="I46" t="s">
        <v>348</v>
      </c>
      <c r="J46" s="166">
        <v>1</v>
      </c>
      <c r="K46" s="203" t="s">
        <v>674</v>
      </c>
      <c r="L46" s="134" t="s">
        <v>682</v>
      </c>
      <c r="M46" t="s">
        <v>675</v>
      </c>
    </row>
    <row r="47" spans="1:22" x14ac:dyDescent="0.2">
      <c r="B47" s="29" t="str">
        <f t="shared" si="2"/>
        <v>Veen met kleidek - zonder onderwaterdrainage</v>
      </c>
      <c r="C47" s="29" t="s">
        <v>273</v>
      </c>
      <c r="D47" s="15"/>
      <c r="E47" s="311">
        <v>-4.0599999999999996</v>
      </c>
      <c r="F47" s="312">
        <v>3.68</v>
      </c>
      <c r="G47" s="312">
        <v>0.23</v>
      </c>
      <c r="H47" s="28"/>
      <c r="I47" t="s">
        <v>348</v>
      </c>
      <c r="J47" s="166">
        <v>1</v>
      </c>
      <c r="K47" s="203" t="s">
        <v>674</v>
      </c>
      <c r="L47" s="134" t="s">
        <v>683</v>
      </c>
      <c r="M47" t="s">
        <v>675</v>
      </c>
    </row>
    <row r="48" spans="1:22" x14ac:dyDescent="0.2">
      <c r="B48" s="29" t="str">
        <f t="shared" si="2"/>
        <v>Veen met kleidek - met onderwaterdrainage</v>
      </c>
      <c r="C48" s="29" t="s">
        <v>273</v>
      </c>
      <c r="D48" s="15"/>
      <c r="E48" s="311">
        <v>-3.47</v>
      </c>
      <c r="F48" s="312">
        <v>3.26</v>
      </c>
      <c r="G48" s="312">
        <v>0.27</v>
      </c>
      <c r="H48" s="28"/>
      <c r="I48" t="s">
        <v>348</v>
      </c>
      <c r="J48" s="166">
        <v>1</v>
      </c>
      <c r="K48" s="203" t="s">
        <v>674</v>
      </c>
      <c r="L48" s="134" t="s">
        <v>684</v>
      </c>
      <c r="M48" t="s">
        <v>675</v>
      </c>
    </row>
    <row r="49" spans="1:22" x14ac:dyDescent="0.2">
      <c r="B49" s="29"/>
      <c r="C49" s="29"/>
      <c r="D49" s="15"/>
      <c r="E49" s="311"/>
      <c r="F49" s="312"/>
      <c r="G49" s="312"/>
      <c r="H49" s="28"/>
      <c r="J49" s="166"/>
    </row>
    <row r="50" spans="1:22" x14ac:dyDescent="0.2">
      <c r="I50" s="277"/>
      <c r="J50"/>
      <c r="K50" s="149"/>
      <c r="L50"/>
      <c r="M50" s="1"/>
      <c r="N50" s="2"/>
      <c r="O50" s="1"/>
      <c r="P50" s="1"/>
      <c r="Q50" s="2"/>
      <c r="R50" s="1"/>
      <c r="S50" s="128"/>
      <c r="T50" s="128"/>
      <c r="U50" s="128"/>
    </row>
    <row r="51" spans="1:22" ht="17" x14ac:dyDescent="0.2">
      <c r="B51" s="105" t="s">
        <v>296</v>
      </c>
      <c r="C51" s="97"/>
      <c r="D51" s="97"/>
      <c r="E51" s="97"/>
      <c r="F51" s="97"/>
      <c r="G51" s="97"/>
      <c r="H51" s="97"/>
      <c r="I51" s="97"/>
      <c r="J51" s="276"/>
      <c r="K51" s="97"/>
      <c r="L51" s="140"/>
      <c r="M51" s="97"/>
      <c r="N51" s="97"/>
      <c r="O51" s="140"/>
      <c r="P51" s="97"/>
      <c r="Q51" s="97"/>
      <c r="R51" s="140"/>
      <c r="S51" s="97"/>
      <c r="T51" s="97"/>
      <c r="U51" s="97"/>
      <c r="V51" s="97"/>
    </row>
    <row r="52" spans="1:22" x14ac:dyDescent="0.2">
      <c r="B52" s="216"/>
      <c r="I52" s="28"/>
      <c r="K52" s="28"/>
    </row>
    <row r="53" spans="1:22" x14ac:dyDescent="0.2">
      <c r="B53" t="s">
        <v>297</v>
      </c>
      <c r="C53" t="s">
        <v>248</v>
      </c>
      <c r="D53" t="s">
        <v>63</v>
      </c>
      <c r="E53" t="s">
        <v>52</v>
      </c>
      <c r="F53" t="s">
        <v>54</v>
      </c>
      <c r="G53" t="s">
        <v>51</v>
      </c>
      <c r="H53" t="s">
        <v>244</v>
      </c>
      <c r="I53" t="s">
        <v>270</v>
      </c>
      <c r="J53" s="277" t="s">
        <v>271</v>
      </c>
      <c r="K53" t="s">
        <v>235</v>
      </c>
      <c r="L53" s="149" t="s">
        <v>236</v>
      </c>
      <c r="M53" t="s">
        <v>237</v>
      </c>
      <c r="N53" s="1" t="s">
        <v>238</v>
      </c>
      <c r="O53" s="2" t="s">
        <v>239</v>
      </c>
      <c r="P53" s="1" t="s">
        <v>240</v>
      </c>
      <c r="Q53" s="1" t="s">
        <v>241</v>
      </c>
      <c r="R53" s="2" t="s">
        <v>242</v>
      </c>
      <c r="S53" s="1" t="s">
        <v>243</v>
      </c>
      <c r="T53" s="127" t="s">
        <v>245</v>
      </c>
      <c r="U53" s="127" t="s">
        <v>272</v>
      </c>
      <c r="V53" s="127" t="s">
        <v>247</v>
      </c>
    </row>
    <row r="54" spans="1:22" x14ac:dyDescent="0.2">
      <c r="B54" s="270" t="s">
        <v>50</v>
      </c>
      <c r="C54" s="271" t="s">
        <v>48</v>
      </c>
      <c r="D54" s="272"/>
      <c r="E54" s="272"/>
      <c r="F54" s="272"/>
      <c r="G54" s="272"/>
      <c r="I54" t="s">
        <v>298</v>
      </c>
      <c r="J54" s="46"/>
    </row>
    <row r="55" spans="1:22" x14ac:dyDescent="0.2">
      <c r="A55" s="28"/>
      <c r="B55" s="270" t="s">
        <v>299</v>
      </c>
      <c r="C55" s="271" t="s">
        <v>48</v>
      </c>
      <c r="D55" s="272"/>
      <c r="E55" s="272"/>
      <c r="F55" s="272"/>
      <c r="G55" s="272"/>
      <c r="I55" t="s">
        <v>298</v>
      </c>
      <c r="J55" s="46"/>
    </row>
    <row r="56" spans="1:22" x14ac:dyDescent="0.2">
      <c r="A56" s="28"/>
      <c r="B56" s="271" t="s">
        <v>300</v>
      </c>
      <c r="C56" s="271" t="s">
        <v>48</v>
      </c>
      <c r="D56" s="272">
        <v>0</v>
      </c>
      <c r="E56" s="272">
        <v>61900</v>
      </c>
      <c r="F56" s="272">
        <v>60900</v>
      </c>
      <c r="G56" s="272">
        <v>59500</v>
      </c>
      <c r="H56" s="28" t="s">
        <v>301</v>
      </c>
      <c r="I56" t="s">
        <v>275</v>
      </c>
      <c r="J56" s="46">
        <v>2</v>
      </c>
      <c r="K56" t="s">
        <v>302</v>
      </c>
      <c r="L56" s="134" t="s">
        <v>303</v>
      </c>
      <c r="M56" t="s">
        <v>304</v>
      </c>
    </row>
    <row r="57" spans="1:22" x14ac:dyDescent="0.2">
      <c r="B57" s="271" t="s">
        <v>305</v>
      </c>
      <c r="C57" s="271" t="s">
        <v>58</v>
      </c>
      <c r="D57" s="273">
        <v>0</v>
      </c>
      <c r="E57" s="273">
        <v>0.04</v>
      </c>
      <c r="F57" s="273">
        <v>0.02</v>
      </c>
      <c r="G57" s="273">
        <v>0.01</v>
      </c>
      <c r="I57" t="s">
        <v>275</v>
      </c>
      <c r="J57" s="46">
        <v>3</v>
      </c>
      <c r="K57" t="s">
        <v>306</v>
      </c>
      <c r="L57" s="134" t="s">
        <v>307</v>
      </c>
      <c r="M57" t="s">
        <v>308</v>
      </c>
    </row>
    <row r="58" spans="1:22" x14ac:dyDescent="0.2">
      <c r="A58" s="28"/>
      <c r="B58" s="271" t="s">
        <v>309</v>
      </c>
      <c r="C58" s="271" t="s">
        <v>59</v>
      </c>
      <c r="D58" s="272">
        <v>0</v>
      </c>
      <c r="E58" s="272">
        <v>30</v>
      </c>
      <c r="F58" s="272">
        <v>20</v>
      </c>
      <c r="G58" s="272">
        <v>10</v>
      </c>
      <c r="H58" s="28" t="s">
        <v>310</v>
      </c>
      <c r="I58" t="s">
        <v>275</v>
      </c>
      <c r="J58" s="46">
        <v>2</v>
      </c>
      <c r="K58" s="28" t="s">
        <v>311</v>
      </c>
      <c r="L58" s="134" t="s">
        <v>312</v>
      </c>
      <c r="M58" t="s">
        <v>313</v>
      </c>
    </row>
    <row r="59" spans="1:22" x14ac:dyDescent="0.2">
      <c r="A59" s="28"/>
      <c r="B59" s="271" t="s">
        <v>314</v>
      </c>
      <c r="C59" s="271" t="s">
        <v>58</v>
      </c>
      <c r="D59" s="272">
        <v>0</v>
      </c>
      <c r="E59" s="273">
        <v>1</v>
      </c>
      <c r="F59" s="273">
        <v>0.65</v>
      </c>
      <c r="G59" s="273">
        <v>0.3</v>
      </c>
      <c r="H59" s="28"/>
      <c r="I59" t="s">
        <v>315</v>
      </c>
      <c r="J59" s="46">
        <v>1</v>
      </c>
      <c r="K59" t="s">
        <v>306</v>
      </c>
      <c r="L59" s="134" t="s">
        <v>316</v>
      </c>
      <c r="M59" t="s">
        <v>308</v>
      </c>
    </row>
    <row r="60" spans="1:22" x14ac:dyDescent="0.2">
      <c r="A60" s="28"/>
      <c r="B60" s="271"/>
      <c r="C60" s="271"/>
      <c r="D60" s="272"/>
      <c r="E60" s="273"/>
      <c r="F60" s="273"/>
      <c r="G60" s="273"/>
      <c r="H60" s="28"/>
      <c r="J60" s="46"/>
    </row>
    <row r="61" spans="1:22" x14ac:dyDescent="0.2">
      <c r="B61" s="16" t="s">
        <v>579</v>
      </c>
      <c r="C61" s="11" t="s">
        <v>248</v>
      </c>
      <c r="D61" s="19" t="s">
        <v>359</v>
      </c>
      <c r="E61" s="19" t="s">
        <v>288</v>
      </c>
      <c r="F61" s="19" t="s">
        <v>285</v>
      </c>
      <c r="G61" s="19" t="s">
        <v>286</v>
      </c>
      <c r="H61" s="11" t="s">
        <v>244</v>
      </c>
      <c r="I61" s="11" t="s">
        <v>270</v>
      </c>
      <c r="J61" s="26" t="s">
        <v>271</v>
      </c>
      <c r="K61" s="11" t="s">
        <v>235</v>
      </c>
      <c r="L61" s="12" t="s">
        <v>236</v>
      </c>
      <c r="M61" s="11" t="s">
        <v>237</v>
      </c>
      <c r="N61" s="11" t="s">
        <v>238</v>
      </c>
      <c r="O61" s="12" t="s">
        <v>239</v>
      </c>
      <c r="P61" s="11" t="s">
        <v>240</v>
      </c>
      <c r="Q61" s="11" t="s">
        <v>241</v>
      </c>
      <c r="R61" s="2" t="s">
        <v>242</v>
      </c>
      <c r="S61" s="13" t="s">
        <v>243</v>
      </c>
      <c r="T61" s="127" t="s">
        <v>245</v>
      </c>
      <c r="U61" s="127" t="s">
        <v>272</v>
      </c>
      <c r="V61" s="127" t="s">
        <v>247</v>
      </c>
    </row>
    <row r="62" spans="1:22" x14ac:dyDescent="0.2">
      <c r="B62" s="29" t="str">
        <f t="shared" ref="B62:B75" si="3">B23</f>
        <v xml:space="preserve">Bouwhoek en Hogeland </v>
      </c>
      <c r="C62" s="29" t="s">
        <v>48</v>
      </c>
      <c r="D62" s="15">
        <v>677</v>
      </c>
      <c r="E62" s="44"/>
      <c r="F62" s="15"/>
      <c r="G62" s="15"/>
      <c r="I62" t="s">
        <v>290</v>
      </c>
      <c r="J62" s="166">
        <v>3</v>
      </c>
      <c r="K62" t="s">
        <v>360</v>
      </c>
      <c r="L62" s="134">
        <v>677</v>
      </c>
      <c r="M62" t="s">
        <v>791</v>
      </c>
    </row>
    <row r="63" spans="1:22" x14ac:dyDescent="0.2">
      <c r="B63" s="29" t="str">
        <f t="shared" si="3"/>
        <v xml:space="preserve">Veenkoloniën en Oldambt </v>
      </c>
      <c r="C63" s="29" t="s">
        <v>48</v>
      </c>
      <c r="D63" s="15">
        <v>451</v>
      </c>
      <c r="E63" s="44"/>
      <c r="F63" s="15"/>
      <c r="G63" s="15"/>
      <c r="H63" s="28"/>
      <c r="I63" t="s">
        <v>290</v>
      </c>
      <c r="J63" s="166">
        <v>3</v>
      </c>
      <c r="K63" t="s">
        <v>360</v>
      </c>
      <c r="L63" s="134">
        <v>451</v>
      </c>
      <c r="M63" t="s">
        <v>791</v>
      </c>
    </row>
    <row r="64" spans="1:22" x14ac:dyDescent="0.2">
      <c r="B64" s="29" t="str">
        <f t="shared" si="3"/>
        <v>Noordelijk weidegebied</v>
      </c>
      <c r="C64" s="29" t="s">
        <v>48</v>
      </c>
      <c r="D64" s="15">
        <v>535</v>
      </c>
      <c r="E64" s="44"/>
      <c r="F64" s="15"/>
      <c r="G64" s="15"/>
      <c r="H64" s="28"/>
      <c r="I64" t="s">
        <v>290</v>
      </c>
      <c r="J64" s="166">
        <v>3</v>
      </c>
      <c r="K64" t="s">
        <v>360</v>
      </c>
      <c r="L64" s="134">
        <v>535</v>
      </c>
      <c r="M64" t="s">
        <v>791</v>
      </c>
    </row>
    <row r="65" spans="1:22" x14ac:dyDescent="0.2">
      <c r="B65" s="29" t="str">
        <f t="shared" si="3"/>
        <v xml:space="preserve">Oostelijk veehouderijgebied </v>
      </c>
      <c r="C65" s="29" t="s">
        <v>48</v>
      </c>
      <c r="D65" s="307">
        <v>601</v>
      </c>
      <c r="E65" s="44"/>
      <c r="F65" s="307"/>
      <c r="G65" s="307"/>
      <c r="I65" t="s">
        <v>290</v>
      </c>
      <c r="J65" s="166">
        <v>3</v>
      </c>
      <c r="K65" t="s">
        <v>360</v>
      </c>
      <c r="L65" s="134">
        <v>601</v>
      </c>
      <c r="M65" t="s">
        <v>791</v>
      </c>
    </row>
    <row r="66" spans="1:22" x14ac:dyDescent="0.2">
      <c r="B66" s="29" t="str">
        <f t="shared" si="3"/>
        <v xml:space="preserve">Centraal veehouderijgebied </v>
      </c>
      <c r="C66" s="29" t="s">
        <v>48</v>
      </c>
      <c r="D66" s="307">
        <v>448</v>
      </c>
      <c r="E66" s="44"/>
      <c r="F66" s="307"/>
      <c r="G66" s="307"/>
      <c r="I66" t="s">
        <v>290</v>
      </c>
      <c r="J66" s="166">
        <v>3</v>
      </c>
      <c r="K66" t="s">
        <v>360</v>
      </c>
      <c r="L66" s="134">
        <v>448</v>
      </c>
      <c r="M66" t="s">
        <v>791</v>
      </c>
    </row>
    <row r="67" spans="1:22" x14ac:dyDescent="0.2">
      <c r="B67" s="29" t="str">
        <f t="shared" si="3"/>
        <v xml:space="preserve">IJsselmeerpolders </v>
      </c>
      <c r="C67" s="29" t="s">
        <v>48</v>
      </c>
      <c r="D67" s="307">
        <v>1135</v>
      </c>
      <c r="E67" s="44"/>
      <c r="F67" s="307"/>
      <c r="G67" s="307"/>
      <c r="I67" t="s">
        <v>290</v>
      </c>
      <c r="J67" s="166">
        <v>3</v>
      </c>
      <c r="K67" t="s">
        <v>360</v>
      </c>
      <c r="L67" s="134">
        <v>1135</v>
      </c>
      <c r="M67" t="s">
        <v>791</v>
      </c>
    </row>
    <row r="68" spans="1:22" x14ac:dyDescent="0.2">
      <c r="B68" s="29" t="str">
        <f t="shared" si="3"/>
        <v xml:space="preserve">Westelijk Holland </v>
      </c>
      <c r="C68" s="29" t="s">
        <v>48</v>
      </c>
      <c r="D68" s="307">
        <v>464</v>
      </c>
      <c r="E68" s="44"/>
      <c r="F68" s="307"/>
      <c r="G68" s="307"/>
      <c r="I68" t="s">
        <v>290</v>
      </c>
      <c r="J68" s="166">
        <v>3</v>
      </c>
      <c r="K68" t="s">
        <v>360</v>
      </c>
      <c r="L68" s="134">
        <v>464</v>
      </c>
      <c r="M68" t="s">
        <v>791</v>
      </c>
    </row>
    <row r="69" spans="1:22" x14ac:dyDescent="0.2">
      <c r="B69" s="29" t="str">
        <f t="shared" si="3"/>
        <v xml:space="preserve">Waterland en Droogmakerijen </v>
      </c>
      <c r="C69" s="29" t="s">
        <v>48</v>
      </c>
      <c r="D69" s="307">
        <v>255</v>
      </c>
      <c r="E69" s="44"/>
      <c r="F69" s="307"/>
      <c r="G69" s="307"/>
      <c r="I69" t="s">
        <v>290</v>
      </c>
      <c r="J69" s="166">
        <v>3</v>
      </c>
      <c r="K69" t="s">
        <v>360</v>
      </c>
      <c r="L69" s="134">
        <v>255</v>
      </c>
      <c r="M69" t="s">
        <v>791</v>
      </c>
    </row>
    <row r="70" spans="1:22" x14ac:dyDescent="0.2">
      <c r="B70" s="29" t="str">
        <f t="shared" si="3"/>
        <v xml:space="preserve">Hollands/Utrechts weidegebied </v>
      </c>
      <c r="C70" s="29" t="s">
        <v>48</v>
      </c>
      <c r="D70" s="307">
        <v>714</v>
      </c>
      <c r="E70" s="44"/>
      <c r="F70" s="307"/>
      <c r="G70" s="307"/>
      <c r="I70" t="s">
        <v>290</v>
      </c>
      <c r="J70" s="166">
        <v>3</v>
      </c>
      <c r="K70" t="s">
        <v>360</v>
      </c>
      <c r="L70" s="134">
        <v>714</v>
      </c>
      <c r="M70" t="s">
        <v>791</v>
      </c>
    </row>
    <row r="71" spans="1:22" x14ac:dyDescent="0.2">
      <c r="B71" s="29" t="str">
        <f t="shared" si="3"/>
        <v xml:space="preserve">Rivierengebied </v>
      </c>
      <c r="C71" s="29" t="s">
        <v>48</v>
      </c>
      <c r="D71" s="307">
        <v>660</v>
      </c>
      <c r="E71" s="44"/>
      <c r="F71" s="307"/>
      <c r="G71" s="307"/>
      <c r="I71" t="s">
        <v>290</v>
      </c>
      <c r="J71" s="166">
        <v>3</v>
      </c>
      <c r="K71" t="s">
        <v>360</v>
      </c>
      <c r="L71" s="134">
        <v>660</v>
      </c>
      <c r="M71" t="s">
        <v>791</v>
      </c>
    </row>
    <row r="72" spans="1:22" x14ac:dyDescent="0.2">
      <c r="B72" s="29" t="str">
        <f t="shared" si="3"/>
        <v xml:space="preserve">Zuidwestelijk akkerbouwgebied </v>
      </c>
      <c r="C72" s="29" t="s">
        <v>48</v>
      </c>
      <c r="D72" s="307">
        <v>377</v>
      </c>
      <c r="E72" s="44"/>
      <c r="F72" s="307"/>
      <c r="G72" s="307"/>
      <c r="I72" t="s">
        <v>290</v>
      </c>
      <c r="J72" s="166">
        <v>3</v>
      </c>
      <c r="K72" t="s">
        <v>360</v>
      </c>
      <c r="L72" s="134">
        <v>377</v>
      </c>
      <c r="M72" t="s">
        <v>791</v>
      </c>
    </row>
    <row r="73" spans="1:22" x14ac:dyDescent="0.2">
      <c r="B73" s="29" t="str">
        <f t="shared" si="3"/>
        <v xml:space="preserve">Zuidwest Brabant </v>
      </c>
      <c r="C73" s="29" t="s">
        <v>48</v>
      </c>
      <c r="D73" s="307">
        <v>761</v>
      </c>
      <c r="E73" s="44"/>
      <c r="F73" s="307"/>
      <c r="G73" s="307"/>
      <c r="I73" t="s">
        <v>290</v>
      </c>
      <c r="J73" s="166">
        <v>3</v>
      </c>
      <c r="K73" t="s">
        <v>360</v>
      </c>
      <c r="L73" s="134">
        <v>761</v>
      </c>
      <c r="M73" t="s">
        <v>791</v>
      </c>
    </row>
    <row r="74" spans="1:22" s="29" customFormat="1" x14ac:dyDescent="0.2">
      <c r="B74" s="29" t="str">
        <f t="shared" si="3"/>
        <v xml:space="preserve">Zuidelijk veehouderijgebied </v>
      </c>
      <c r="C74" s="29" t="s">
        <v>48</v>
      </c>
      <c r="D74" s="307">
        <v>486</v>
      </c>
      <c r="E74" s="44"/>
      <c r="F74" s="307"/>
      <c r="G74" s="307"/>
      <c r="H74"/>
      <c r="I74" t="s">
        <v>290</v>
      </c>
      <c r="J74" s="166">
        <v>3</v>
      </c>
      <c r="K74" t="s">
        <v>360</v>
      </c>
      <c r="L74" s="134">
        <v>486</v>
      </c>
      <c r="M74" t="s">
        <v>791</v>
      </c>
      <c r="N74"/>
      <c r="O74" s="134"/>
      <c r="P74"/>
      <c r="Q74"/>
      <c r="R74" s="134"/>
      <c r="S74"/>
      <c r="T74"/>
      <c r="U74"/>
      <c r="V74"/>
    </row>
    <row r="75" spans="1:22" x14ac:dyDescent="0.2">
      <c r="B75" s="29" t="str">
        <f t="shared" si="3"/>
        <v>Zuid-Limburg</v>
      </c>
      <c r="C75" s="29" t="s">
        <v>48</v>
      </c>
      <c r="D75" s="307">
        <v>544</v>
      </c>
      <c r="E75" s="44"/>
      <c r="F75" s="307"/>
      <c r="G75" s="307"/>
      <c r="I75" t="s">
        <v>290</v>
      </c>
      <c r="J75" s="166">
        <v>3</v>
      </c>
      <c r="K75" t="s">
        <v>360</v>
      </c>
      <c r="L75" s="134">
        <v>544</v>
      </c>
      <c r="M75" t="s">
        <v>791</v>
      </c>
    </row>
    <row r="77" spans="1:22" s="29" customFormat="1" x14ac:dyDescent="0.2">
      <c r="A77" s="21"/>
      <c r="B77" s="10" t="s">
        <v>317</v>
      </c>
      <c r="C77" s="11" t="s">
        <v>248</v>
      </c>
      <c r="D77" s="11" t="s">
        <v>63</v>
      </c>
      <c r="E77" s="11" t="s">
        <v>52</v>
      </c>
      <c r="F77" s="11" t="s">
        <v>54</v>
      </c>
      <c r="G77" s="11" t="s">
        <v>51</v>
      </c>
      <c r="H77" s="11" t="s">
        <v>244</v>
      </c>
      <c r="I77" s="11" t="s">
        <v>270</v>
      </c>
      <c r="J77" s="26" t="s">
        <v>271</v>
      </c>
      <c r="K77" s="11" t="s">
        <v>235</v>
      </c>
      <c r="L77" s="12" t="s">
        <v>236</v>
      </c>
      <c r="M77" s="11" t="s">
        <v>237</v>
      </c>
      <c r="N77" s="11" t="s">
        <v>238</v>
      </c>
      <c r="O77" s="12" t="s">
        <v>239</v>
      </c>
      <c r="P77" s="11" t="s">
        <v>240</v>
      </c>
      <c r="Q77" s="11" t="s">
        <v>241</v>
      </c>
      <c r="R77" s="2" t="s">
        <v>242</v>
      </c>
      <c r="S77" s="13" t="s">
        <v>243</v>
      </c>
      <c r="T77" s="127" t="s">
        <v>245</v>
      </c>
      <c r="U77" s="127" t="s">
        <v>272</v>
      </c>
      <c r="V77" s="127" t="s">
        <v>247</v>
      </c>
    </row>
    <row r="78" spans="1:22" x14ac:dyDescent="0.2">
      <c r="A78" s="28"/>
      <c r="B78" s="135" t="s">
        <v>318</v>
      </c>
      <c r="C78" s="52" t="s">
        <v>55</v>
      </c>
      <c r="D78" s="136">
        <v>0</v>
      </c>
      <c r="E78" s="137">
        <v>80</v>
      </c>
      <c r="F78" s="137">
        <v>40</v>
      </c>
      <c r="G78" s="137">
        <v>20</v>
      </c>
      <c r="H78" t="s">
        <v>319</v>
      </c>
      <c r="I78" t="s">
        <v>315</v>
      </c>
      <c r="J78" s="46">
        <v>1</v>
      </c>
      <c r="K78" t="s">
        <v>306</v>
      </c>
      <c r="L78" s="134" t="s">
        <v>320</v>
      </c>
      <c r="M78" t="s">
        <v>308</v>
      </c>
      <c r="N78" t="s">
        <v>321</v>
      </c>
      <c r="O78" s="134" t="s">
        <v>320</v>
      </c>
      <c r="P78" t="s">
        <v>308</v>
      </c>
    </row>
    <row r="79" spans="1:22" x14ac:dyDescent="0.2">
      <c r="A79" s="28"/>
      <c r="B79" s="135" t="s">
        <v>322</v>
      </c>
      <c r="C79" s="52" t="s">
        <v>57</v>
      </c>
      <c r="D79" s="136">
        <v>0</v>
      </c>
      <c r="E79" s="138">
        <v>120</v>
      </c>
      <c r="F79" s="138">
        <v>95</v>
      </c>
      <c r="G79" s="138">
        <v>75</v>
      </c>
      <c r="H79" t="s">
        <v>323</v>
      </c>
      <c r="I79" t="s">
        <v>275</v>
      </c>
      <c r="J79" s="46">
        <v>2</v>
      </c>
      <c r="K79" s="28" t="s">
        <v>311</v>
      </c>
      <c r="L79" s="134" t="s">
        <v>324</v>
      </c>
      <c r="M79" t="s">
        <v>325</v>
      </c>
    </row>
    <row r="80" spans="1:22" s="29" customFormat="1" x14ac:dyDescent="0.2">
      <c r="A80" s="21"/>
      <c r="B80" s="29" t="s">
        <v>803</v>
      </c>
      <c r="C80" s="29" t="s">
        <v>48</v>
      </c>
      <c r="D80" s="36"/>
      <c r="E80" s="14"/>
      <c r="F80" s="14"/>
      <c r="G80" s="14"/>
      <c r="I80" s="29" t="s">
        <v>326</v>
      </c>
      <c r="J80" s="83" t="s">
        <v>327</v>
      </c>
      <c r="L80" s="141"/>
      <c r="O80" s="132"/>
      <c r="R80" s="132"/>
    </row>
    <row r="81" spans="1:22" s="28" customFormat="1" x14ac:dyDescent="0.2">
      <c r="B81" s="135" t="s">
        <v>328</v>
      </c>
      <c r="C81" s="52" t="s">
        <v>65</v>
      </c>
      <c r="D81" s="136">
        <v>0</v>
      </c>
      <c r="E81" s="274">
        <v>800</v>
      </c>
      <c r="F81" s="274">
        <v>400</v>
      </c>
      <c r="G81" s="274">
        <v>50</v>
      </c>
      <c r="H81" t="s">
        <v>329</v>
      </c>
      <c r="I81" t="s">
        <v>275</v>
      </c>
      <c r="J81" s="46">
        <v>2</v>
      </c>
      <c r="K81" t="s">
        <v>311</v>
      </c>
      <c r="L81" s="52" t="s">
        <v>330</v>
      </c>
      <c r="M81" t="s">
        <v>313</v>
      </c>
      <c r="N81" s="28" t="s">
        <v>311</v>
      </c>
      <c r="O81" s="344" t="s">
        <v>331</v>
      </c>
      <c r="P81" t="s">
        <v>313</v>
      </c>
      <c r="Q81"/>
      <c r="R81" s="134"/>
      <c r="S81"/>
      <c r="T81"/>
      <c r="U81"/>
      <c r="V81"/>
    </row>
    <row r="82" spans="1:22" x14ac:dyDescent="0.2">
      <c r="A82" s="28"/>
      <c r="B82" s="135" t="s">
        <v>332</v>
      </c>
      <c r="C82" s="52" t="s">
        <v>66</v>
      </c>
      <c r="D82" s="136">
        <v>0</v>
      </c>
      <c r="E82" s="274">
        <v>5</v>
      </c>
      <c r="F82" s="274">
        <v>3</v>
      </c>
      <c r="G82" s="274">
        <v>2</v>
      </c>
      <c r="I82" t="s">
        <v>275</v>
      </c>
      <c r="J82" s="46">
        <v>2</v>
      </c>
      <c r="K82" t="s">
        <v>311</v>
      </c>
      <c r="L82" s="157" t="s">
        <v>333</v>
      </c>
      <c r="M82" t="s">
        <v>334</v>
      </c>
    </row>
    <row r="83" spans="1:22" x14ac:dyDescent="0.2">
      <c r="A83" s="28"/>
      <c r="B83" s="29" t="s">
        <v>802</v>
      </c>
      <c r="C83" s="29" t="s">
        <v>48</v>
      </c>
      <c r="D83" s="36"/>
      <c r="E83" s="14"/>
      <c r="F83" s="14"/>
      <c r="G83" s="14"/>
      <c r="H83" s="29"/>
      <c r="K83" s="29"/>
      <c r="L83" s="141"/>
      <c r="M83" s="29"/>
      <c r="N83" s="29"/>
      <c r="O83" s="141"/>
      <c r="P83" s="29"/>
      <c r="Q83" s="29"/>
      <c r="R83" s="141"/>
      <c r="S83" s="29"/>
      <c r="T83" s="29"/>
      <c r="U83" s="29"/>
      <c r="V83" s="29"/>
    </row>
    <row r="84" spans="1:22" x14ac:dyDescent="0.2">
      <c r="A84" s="28"/>
      <c r="B84" s="485" t="s">
        <v>895</v>
      </c>
      <c r="C84" s="484" t="s">
        <v>888</v>
      </c>
      <c r="D84" s="138">
        <v>0</v>
      </c>
      <c r="E84" s="138">
        <v>20</v>
      </c>
      <c r="F84" s="138">
        <v>10</v>
      </c>
      <c r="G84" s="138">
        <v>5</v>
      </c>
      <c r="H84" s="29" t="s">
        <v>893</v>
      </c>
      <c r="I84" s="28" t="s">
        <v>275</v>
      </c>
      <c r="J84" s="46">
        <v>2</v>
      </c>
      <c r="K84" t="s">
        <v>306</v>
      </c>
      <c r="L84" s="141" t="s">
        <v>892</v>
      </c>
      <c r="M84" t="s">
        <v>308</v>
      </c>
      <c r="N84" s="29"/>
      <c r="O84" s="141"/>
      <c r="P84" s="29"/>
      <c r="Q84" s="29"/>
      <c r="R84" s="141"/>
      <c r="S84" s="29"/>
      <c r="T84" s="29"/>
      <c r="U84" s="29"/>
      <c r="V84" s="29"/>
    </row>
    <row r="85" spans="1:22" x14ac:dyDescent="0.2">
      <c r="A85" s="28"/>
      <c r="B85" s="485" t="s">
        <v>896</v>
      </c>
      <c r="C85" s="52" t="s">
        <v>889</v>
      </c>
      <c r="D85" s="136">
        <v>0</v>
      </c>
      <c r="E85" s="138">
        <v>15</v>
      </c>
      <c r="F85" s="138">
        <v>10</v>
      </c>
      <c r="G85" s="138">
        <v>5</v>
      </c>
      <c r="H85" s="29"/>
      <c r="I85" t="s">
        <v>275</v>
      </c>
      <c r="J85" s="46">
        <v>2</v>
      </c>
      <c r="K85" t="s">
        <v>302</v>
      </c>
      <c r="L85" s="141" t="s">
        <v>891</v>
      </c>
      <c r="M85" t="s">
        <v>335</v>
      </c>
      <c r="N85" s="29"/>
      <c r="O85" s="141"/>
      <c r="P85" s="29"/>
      <c r="Q85" s="29"/>
      <c r="R85" s="141"/>
      <c r="S85" s="29"/>
      <c r="T85" s="29"/>
      <c r="U85" s="29"/>
      <c r="V85" s="29"/>
    </row>
    <row r="86" spans="1:22" x14ac:dyDescent="0.2">
      <c r="A86" s="28"/>
      <c r="B86" s="28" t="s">
        <v>890</v>
      </c>
      <c r="C86" t="s">
        <v>48</v>
      </c>
      <c r="D86" s="3"/>
      <c r="E86" s="15"/>
      <c r="F86" s="15"/>
      <c r="G86" s="3"/>
      <c r="H86" s="28"/>
      <c r="I86" s="29" t="s">
        <v>326</v>
      </c>
      <c r="J86" s="83" t="s">
        <v>327</v>
      </c>
    </row>
    <row r="87" spans="1:22" x14ac:dyDescent="0.2">
      <c r="A87" s="28"/>
      <c r="B87" s="485" t="s">
        <v>897</v>
      </c>
      <c r="C87" s="484" t="s">
        <v>888</v>
      </c>
      <c r="D87" s="138">
        <v>0</v>
      </c>
      <c r="E87" s="138">
        <v>20</v>
      </c>
      <c r="F87" s="138">
        <v>10</v>
      </c>
      <c r="G87" s="138">
        <v>5</v>
      </c>
      <c r="H87" s="29" t="s">
        <v>893</v>
      </c>
      <c r="I87" s="28" t="s">
        <v>275</v>
      </c>
      <c r="J87" s="46">
        <v>2</v>
      </c>
      <c r="K87" t="s">
        <v>306</v>
      </c>
      <c r="L87" s="141" t="s">
        <v>892</v>
      </c>
      <c r="M87" t="s">
        <v>308</v>
      </c>
    </row>
    <row r="88" spans="1:22" x14ac:dyDescent="0.2">
      <c r="A88" s="28"/>
      <c r="B88" s="485" t="s">
        <v>898</v>
      </c>
      <c r="C88" s="52" t="s">
        <v>889</v>
      </c>
      <c r="D88" s="136">
        <v>0</v>
      </c>
      <c r="E88" s="138">
        <v>15</v>
      </c>
      <c r="F88" s="138">
        <v>10</v>
      </c>
      <c r="G88" s="138">
        <v>5</v>
      </c>
      <c r="H88" s="29"/>
      <c r="I88" t="s">
        <v>275</v>
      </c>
      <c r="J88" s="46">
        <v>2</v>
      </c>
      <c r="K88" t="s">
        <v>302</v>
      </c>
      <c r="L88" s="141" t="s">
        <v>891</v>
      </c>
      <c r="M88" t="s">
        <v>335</v>
      </c>
    </row>
    <row r="89" spans="1:22" s="29" customFormat="1" x14ac:dyDescent="0.2">
      <c r="A89" s="28"/>
      <c r="B89" s="28" t="s">
        <v>894</v>
      </c>
      <c r="C89" t="s">
        <v>48</v>
      </c>
      <c r="D89" s="3"/>
      <c r="E89" s="15"/>
      <c r="F89" s="15"/>
      <c r="G89" s="3"/>
      <c r="H89" s="28"/>
      <c r="I89" s="29" t="s">
        <v>326</v>
      </c>
      <c r="J89" s="83" t="s">
        <v>327</v>
      </c>
      <c r="K89"/>
      <c r="L89" s="134"/>
      <c r="M89"/>
      <c r="N89"/>
      <c r="O89" s="134"/>
      <c r="P89"/>
      <c r="Q89"/>
      <c r="R89" s="134"/>
      <c r="S89"/>
      <c r="T89"/>
      <c r="U89"/>
      <c r="V89"/>
    </row>
    <row r="90" spans="1:22" x14ac:dyDescent="0.2">
      <c r="A90" s="28"/>
      <c r="B90" t="s">
        <v>902</v>
      </c>
      <c r="C90" t="s">
        <v>48</v>
      </c>
      <c r="D90" s="3">
        <v>0</v>
      </c>
      <c r="E90" s="15">
        <v>3400</v>
      </c>
      <c r="F90" s="15">
        <v>1700</v>
      </c>
      <c r="G90" s="15">
        <v>1500</v>
      </c>
      <c r="H90" s="28" t="s">
        <v>336</v>
      </c>
      <c r="I90" t="s">
        <v>275</v>
      </c>
      <c r="J90" s="46">
        <v>2</v>
      </c>
      <c r="K90" t="s">
        <v>306</v>
      </c>
      <c r="L90" s="134" t="s">
        <v>899</v>
      </c>
      <c r="M90" t="s">
        <v>308</v>
      </c>
      <c r="N90" t="s">
        <v>306</v>
      </c>
      <c r="O90" s="134" t="s">
        <v>900</v>
      </c>
      <c r="P90" t="s">
        <v>308</v>
      </c>
      <c r="Q90" t="s">
        <v>306</v>
      </c>
      <c r="R90" s="134" t="s">
        <v>901</v>
      </c>
      <c r="S90" t="s">
        <v>308</v>
      </c>
    </row>
    <row r="91" spans="1:22" x14ac:dyDescent="0.2">
      <c r="B91" s="28" t="s">
        <v>337</v>
      </c>
      <c r="C91" t="s">
        <v>48</v>
      </c>
      <c r="D91" s="3">
        <v>0</v>
      </c>
      <c r="E91" s="15">
        <v>1000</v>
      </c>
      <c r="F91" s="15">
        <v>500</v>
      </c>
      <c r="G91" s="175">
        <v>250</v>
      </c>
      <c r="H91" s="28" t="s">
        <v>338</v>
      </c>
      <c r="I91" t="s">
        <v>275</v>
      </c>
      <c r="J91" s="166">
        <v>2</v>
      </c>
      <c r="K91" t="s">
        <v>311</v>
      </c>
      <c r="L91" s="134" t="s">
        <v>339</v>
      </c>
      <c r="M91" t="s">
        <v>334</v>
      </c>
    </row>
    <row r="92" spans="1:22" x14ac:dyDescent="0.2">
      <c r="B92" t="s">
        <v>582</v>
      </c>
      <c r="C92" t="s">
        <v>48</v>
      </c>
      <c r="D92" s="3">
        <v>0</v>
      </c>
      <c r="E92" s="15">
        <v>1000</v>
      </c>
      <c r="F92" s="15">
        <v>500</v>
      </c>
      <c r="G92" s="175">
        <v>250</v>
      </c>
      <c r="H92" s="28" t="s">
        <v>649</v>
      </c>
      <c r="I92" t="s">
        <v>275</v>
      </c>
      <c r="J92" s="46">
        <v>2</v>
      </c>
      <c r="K92" t="s">
        <v>302</v>
      </c>
      <c r="L92" s="141" t="s">
        <v>340</v>
      </c>
      <c r="M92" t="s">
        <v>335</v>
      </c>
      <c r="N92" t="s">
        <v>321</v>
      </c>
      <c r="O92" s="134" t="s">
        <v>650</v>
      </c>
      <c r="P92" t="s">
        <v>308</v>
      </c>
    </row>
    <row r="93" spans="1:22" x14ac:dyDescent="0.2">
      <c r="A93" s="28"/>
      <c r="B93" t="s">
        <v>341</v>
      </c>
      <c r="C93" t="s">
        <v>48</v>
      </c>
      <c r="D93" s="3">
        <v>0</v>
      </c>
      <c r="E93" s="15">
        <v>5500</v>
      </c>
      <c r="F93" s="15">
        <v>250</v>
      </c>
      <c r="G93" s="175">
        <v>125</v>
      </c>
      <c r="H93" s="28" t="s">
        <v>648</v>
      </c>
      <c r="I93" t="s">
        <v>315</v>
      </c>
      <c r="J93" s="46">
        <v>1</v>
      </c>
      <c r="K93" t="s">
        <v>311</v>
      </c>
      <c r="L93" s="134" t="s">
        <v>626</v>
      </c>
      <c r="M93" t="s">
        <v>334</v>
      </c>
    </row>
    <row r="94" spans="1:22" s="29" customFormat="1" x14ac:dyDescent="0.2">
      <c r="B94" t="s">
        <v>342</v>
      </c>
      <c r="C94" t="s">
        <v>48</v>
      </c>
      <c r="D94" s="3">
        <v>0</v>
      </c>
      <c r="E94" s="15">
        <v>300</v>
      </c>
      <c r="F94" s="15">
        <v>150</v>
      </c>
      <c r="G94" s="175">
        <v>75</v>
      </c>
      <c r="H94" s="28" t="s">
        <v>739</v>
      </c>
      <c r="I94" t="s">
        <v>315</v>
      </c>
      <c r="J94" s="46">
        <v>0</v>
      </c>
      <c r="K94" s="28" t="s">
        <v>306</v>
      </c>
      <c r="L94" s="134" t="s">
        <v>740</v>
      </c>
      <c r="M94" t="s">
        <v>308</v>
      </c>
      <c r="N94"/>
      <c r="O94" s="134"/>
      <c r="P94"/>
      <c r="Q94"/>
      <c r="R94" s="134"/>
      <c r="S94"/>
      <c r="T94"/>
      <c r="U94"/>
      <c r="V94"/>
    </row>
    <row r="95" spans="1:22" x14ac:dyDescent="0.2">
      <c r="A95" s="28"/>
      <c r="B95" s="25"/>
      <c r="C95" s="25"/>
      <c r="D95" s="25"/>
      <c r="E95" s="401">
        <f>E94*40</f>
        <v>12000</v>
      </c>
      <c r="F95" s="25"/>
      <c r="G95" s="25"/>
      <c r="H95" s="25"/>
      <c r="I95" s="25"/>
      <c r="J95" s="278"/>
      <c r="K95" s="25"/>
      <c r="L95" s="142"/>
      <c r="M95" s="25"/>
      <c r="N95" s="25"/>
      <c r="O95" s="142"/>
      <c r="P95" s="25"/>
      <c r="Q95" s="25"/>
      <c r="R95" s="142"/>
      <c r="S95" s="25"/>
      <c r="T95" s="128"/>
      <c r="U95" s="128"/>
      <c r="V95" s="128"/>
    </row>
    <row r="96" spans="1:22" x14ac:dyDescent="0.2">
      <c r="B96" s="16" t="s">
        <v>67</v>
      </c>
      <c r="C96" s="11" t="s">
        <v>248</v>
      </c>
      <c r="D96" s="19" t="s">
        <v>63</v>
      </c>
      <c r="E96" s="19" t="s">
        <v>52</v>
      </c>
      <c r="F96" s="19" t="s">
        <v>54</v>
      </c>
      <c r="G96" s="19" t="s">
        <v>51</v>
      </c>
      <c r="H96" s="11" t="s">
        <v>244</v>
      </c>
      <c r="I96" s="11" t="s">
        <v>270</v>
      </c>
      <c r="J96" s="26" t="s">
        <v>271</v>
      </c>
      <c r="K96" s="11" t="s">
        <v>235</v>
      </c>
      <c r="L96" s="12" t="s">
        <v>236</v>
      </c>
      <c r="M96" s="11" t="s">
        <v>237</v>
      </c>
      <c r="N96" s="11" t="s">
        <v>238</v>
      </c>
      <c r="O96" s="12" t="s">
        <v>239</v>
      </c>
      <c r="P96" s="11" t="s">
        <v>240</v>
      </c>
      <c r="Q96" s="11" t="s">
        <v>241</v>
      </c>
      <c r="R96" s="2" t="s">
        <v>242</v>
      </c>
      <c r="S96" s="13" t="s">
        <v>243</v>
      </c>
      <c r="T96" s="127" t="s">
        <v>245</v>
      </c>
      <c r="U96" s="127" t="s">
        <v>272</v>
      </c>
      <c r="V96" s="127" t="s">
        <v>247</v>
      </c>
    </row>
    <row r="97" spans="1:22" s="29" customFormat="1" x14ac:dyDescent="0.2">
      <c r="A97" s="21"/>
      <c r="B97" s="18" t="s">
        <v>343</v>
      </c>
      <c r="C97" t="s">
        <v>48</v>
      </c>
      <c r="D97" s="20">
        <v>0</v>
      </c>
      <c r="E97" s="15">
        <v>750</v>
      </c>
      <c r="F97" s="15">
        <v>250</v>
      </c>
      <c r="G97" s="15">
        <v>65</v>
      </c>
      <c r="H97" s="28" t="s">
        <v>734</v>
      </c>
      <c r="I97" s="28" t="s">
        <v>275</v>
      </c>
      <c r="J97" s="46">
        <v>2</v>
      </c>
      <c r="K97" t="s">
        <v>302</v>
      </c>
      <c r="L97" s="134" t="s">
        <v>344</v>
      </c>
      <c r="M97" t="s">
        <v>335</v>
      </c>
      <c r="N97" t="s">
        <v>306</v>
      </c>
      <c r="O97" s="134" t="s">
        <v>733</v>
      </c>
      <c r="P97" t="s">
        <v>308</v>
      </c>
      <c r="Q97"/>
      <c r="R97" s="151"/>
      <c r="S97"/>
      <c r="T97"/>
      <c r="U97"/>
      <c r="V97"/>
    </row>
    <row r="98" spans="1:22" s="29" customFormat="1" x14ac:dyDescent="0.2">
      <c r="A98" s="21"/>
      <c r="B98" s="18" t="s">
        <v>345</v>
      </c>
      <c r="C98" t="s">
        <v>48</v>
      </c>
      <c r="D98" s="20">
        <v>0</v>
      </c>
      <c r="E98" s="15">
        <v>337</v>
      </c>
      <c r="F98" s="15">
        <v>200</v>
      </c>
      <c r="G98" s="15">
        <v>100</v>
      </c>
      <c r="H98" s="17" t="s">
        <v>732</v>
      </c>
      <c r="I98" s="29" t="s">
        <v>348</v>
      </c>
      <c r="J98" s="46">
        <v>2</v>
      </c>
      <c r="K98" t="s">
        <v>302</v>
      </c>
      <c r="L98" s="141" t="s">
        <v>364</v>
      </c>
      <c r="M98" t="s">
        <v>335</v>
      </c>
      <c r="N98"/>
      <c r="O98" s="134"/>
      <c r="P98"/>
      <c r="Q98"/>
      <c r="R98" s="134"/>
      <c r="S98"/>
      <c r="T98"/>
      <c r="U98"/>
      <c r="V98"/>
    </row>
    <row r="99" spans="1:22" x14ac:dyDescent="0.2">
      <c r="A99" s="28"/>
      <c r="B99" s="155" t="s">
        <v>346</v>
      </c>
      <c r="C99" s="52" t="s">
        <v>68</v>
      </c>
      <c r="D99" s="20">
        <v>0</v>
      </c>
      <c r="E99" s="156">
        <v>0.9</v>
      </c>
      <c r="F99" s="156">
        <v>0.6</v>
      </c>
      <c r="G99" s="156">
        <v>0.3</v>
      </c>
      <c r="H99" s="28" t="s">
        <v>347</v>
      </c>
      <c r="I99" s="28" t="s">
        <v>348</v>
      </c>
      <c r="J99" s="46">
        <v>2</v>
      </c>
      <c r="K99" t="s">
        <v>306</v>
      </c>
      <c r="L99" s="134" t="s">
        <v>349</v>
      </c>
      <c r="M99" t="s">
        <v>308</v>
      </c>
      <c r="N99" t="s">
        <v>321</v>
      </c>
      <c r="O99" s="134" t="s">
        <v>350</v>
      </c>
      <c r="P99" t="s">
        <v>308</v>
      </c>
    </row>
    <row r="100" spans="1:22" x14ac:dyDescent="0.2">
      <c r="B100" s="18" t="s">
        <v>807</v>
      </c>
      <c r="C100" s="29" t="s">
        <v>48</v>
      </c>
      <c r="D100" s="20"/>
      <c r="E100" s="15"/>
      <c r="F100" s="15"/>
      <c r="G100" s="15"/>
      <c r="H100" s="29"/>
      <c r="I100" s="21" t="s">
        <v>326</v>
      </c>
      <c r="J100" s="83" t="s">
        <v>327</v>
      </c>
      <c r="K100" s="21"/>
      <c r="L100" s="141"/>
      <c r="M100" s="29"/>
      <c r="N100" s="29"/>
      <c r="O100" s="141"/>
      <c r="P100" s="29"/>
      <c r="Q100" s="29"/>
      <c r="R100" s="141"/>
      <c r="S100" s="29"/>
      <c r="T100" s="29"/>
      <c r="U100" s="29"/>
      <c r="V100" s="29"/>
    </row>
    <row r="101" spans="1:22" x14ac:dyDescent="0.2">
      <c r="B101" s="18" t="s">
        <v>351</v>
      </c>
      <c r="C101" t="s">
        <v>48</v>
      </c>
      <c r="D101" s="20">
        <v>0</v>
      </c>
      <c r="E101" s="15">
        <f>45*(E102/3)</f>
        <v>600</v>
      </c>
      <c r="F101" s="15">
        <f>45*(F102/3)</f>
        <v>450</v>
      </c>
      <c r="G101" s="15">
        <f>45*(G102/3)</f>
        <v>300</v>
      </c>
      <c r="H101" s="271" t="s">
        <v>738</v>
      </c>
      <c r="I101" s="28" t="s">
        <v>348</v>
      </c>
      <c r="J101" s="46">
        <v>2</v>
      </c>
      <c r="K101" s="28" t="s">
        <v>306</v>
      </c>
      <c r="L101" s="134" t="s">
        <v>738</v>
      </c>
      <c r="M101" t="s">
        <v>308</v>
      </c>
    </row>
    <row r="102" spans="1:22" x14ac:dyDescent="0.2">
      <c r="A102" s="28"/>
      <c r="B102" s="155" t="s">
        <v>352</v>
      </c>
      <c r="C102" s="52" t="s">
        <v>55</v>
      </c>
      <c r="D102" s="153">
        <v>0</v>
      </c>
      <c r="E102" s="154">
        <v>40</v>
      </c>
      <c r="F102" s="154">
        <v>30</v>
      </c>
      <c r="G102" s="154">
        <v>20</v>
      </c>
      <c r="H102" t="s">
        <v>736</v>
      </c>
      <c r="I102" s="28" t="s">
        <v>348</v>
      </c>
      <c r="J102" s="46">
        <v>2</v>
      </c>
      <c r="K102" s="28" t="s">
        <v>306</v>
      </c>
      <c r="L102" s="134" t="s">
        <v>737</v>
      </c>
      <c r="M102" t="s">
        <v>308</v>
      </c>
    </row>
    <row r="103" spans="1:22" x14ac:dyDescent="0.2">
      <c r="A103" s="28"/>
      <c r="B103" s="155" t="s">
        <v>353</v>
      </c>
      <c r="C103" s="52" t="s">
        <v>57</v>
      </c>
      <c r="D103" s="153">
        <v>0</v>
      </c>
      <c r="E103" s="154">
        <v>30</v>
      </c>
      <c r="F103" s="154">
        <v>25</v>
      </c>
      <c r="G103" s="154">
        <v>20</v>
      </c>
      <c r="I103" s="28" t="s">
        <v>290</v>
      </c>
      <c r="J103" s="46">
        <v>3</v>
      </c>
      <c r="K103" s="28" t="s">
        <v>306</v>
      </c>
      <c r="L103" s="152" t="s">
        <v>354</v>
      </c>
      <c r="M103" t="s">
        <v>308</v>
      </c>
    </row>
    <row r="104" spans="1:22" x14ac:dyDescent="0.2">
      <c r="A104" s="28"/>
      <c r="B104" s="18" t="s">
        <v>355</v>
      </c>
      <c r="C104" s="29" t="s">
        <v>48</v>
      </c>
      <c r="D104" s="20"/>
      <c r="E104" s="14"/>
      <c r="F104" s="14"/>
      <c r="G104" s="14"/>
      <c r="H104" s="29"/>
      <c r="I104" s="335" t="s">
        <v>326</v>
      </c>
      <c r="J104" s="83" t="s">
        <v>327</v>
      </c>
      <c r="K104" s="21"/>
      <c r="L104" s="141"/>
      <c r="M104" s="29"/>
      <c r="N104" s="29"/>
      <c r="O104" s="141"/>
      <c r="P104" s="29"/>
      <c r="Q104" s="29"/>
      <c r="R104" s="141"/>
      <c r="S104" s="29"/>
      <c r="T104" s="29"/>
      <c r="U104" s="29"/>
      <c r="V104" s="29"/>
    </row>
    <row r="105" spans="1:22" x14ac:dyDescent="0.2">
      <c r="B105" s="18" t="s">
        <v>356</v>
      </c>
      <c r="C105" t="s">
        <v>48</v>
      </c>
      <c r="D105" s="20">
        <v>0</v>
      </c>
      <c r="E105" s="15">
        <v>325</v>
      </c>
      <c r="F105" s="15">
        <v>300</v>
      </c>
      <c r="G105" s="15">
        <v>275</v>
      </c>
      <c r="H105" s="28"/>
      <c r="I105" s="28" t="s">
        <v>348</v>
      </c>
      <c r="J105" s="46">
        <v>1</v>
      </c>
      <c r="K105" s="28" t="s">
        <v>903</v>
      </c>
      <c r="M105" t="s">
        <v>735</v>
      </c>
      <c r="T105" s="29"/>
      <c r="U105" s="29"/>
      <c r="V105" s="29"/>
    </row>
    <row r="106" spans="1:22" x14ac:dyDescent="0.2">
      <c r="B106" s="18" t="s">
        <v>357</v>
      </c>
      <c r="C106" t="s">
        <v>48</v>
      </c>
      <c r="D106" s="20">
        <v>0</v>
      </c>
      <c r="E106" s="15">
        <f>1.25*F106</f>
        <v>166.25</v>
      </c>
      <c r="F106" s="15">
        <v>133</v>
      </c>
      <c r="G106" s="15">
        <f>0.75*F106</f>
        <v>99.75</v>
      </c>
      <c r="H106" s="28"/>
      <c r="I106" s="28" t="s">
        <v>275</v>
      </c>
      <c r="J106" s="46">
        <v>2</v>
      </c>
      <c r="K106" t="s">
        <v>302</v>
      </c>
      <c r="L106" s="141" t="s">
        <v>358</v>
      </c>
      <c r="M106" t="s">
        <v>335</v>
      </c>
    </row>
    <row r="107" spans="1:22" x14ac:dyDescent="0.2">
      <c r="B107" s="29"/>
      <c r="D107" s="328"/>
      <c r="E107" s="14"/>
      <c r="F107" s="14"/>
      <c r="G107" s="14"/>
    </row>
    <row r="108" spans="1:22" x14ac:dyDescent="0.2">
      <c r="J108" s="99"/>
    </row>
    <row r="109" spans="1:22" ht="17" x14ac:dyDescent="0.2">
      <c r="B109" s="105" t="s">
        <v>361</v>
      </c>
      <c r="C109" s="97"/>
      <c r="D109" s="97"/>
      <c r="E109" s="97"/>
      <c r="F109" s="97"/>
      <c r="G109" s="97"/>
      <c r="H109" s="97"/>
      <c r="I109" s="97"/>
      <c r="J109" s="276"/>
      <c r="K109" s="97"/>
      <c r="L109" s="140"/>
      <c r="M109" s="97"/>
      <c r="N109" s="97"/>
      <c r="O109" s="140"/>
      <c r="P109" s="97"/>
      <c r="Q109" s="97"/>
      <c r="R109" s="140"/>
      <c r="S109" s="97"/>
      <c r="T109" s="97"/>
      <c r="U109" s="97"/>
      <c r="V109" s="97"/>
    </row>
    <row r="110" spans="1:22" x14ac:dyDescent="0.2">
      <c r="B110" s="1"/>
    </row>
    <row r="111" spans="1:22" x14ac:dyDescent="0.2">
      <c r="B111" s="23" t="s">
        <v>362</v>
      </c>
      <c r="C111" s="24" t="s">
        <v>248</v>
      </c>
      <c r="D111" s="25" t="s">
        <v>63</v>
      </c>
      <c r="E111" s="25" t="s">
        <v>52</v>
      </c>
      <c r="F111" s="25" t="s">
        <v>54</v>
      </c>
      <c r="G111" s="25" t="s">
        <v>51</v>
      </c>
      <c r="H111" s="25" t="s">
        <v>244</v>
      </c>
      <c r="I111" s="24" t="s">
        <v>270</v>
      </c>
      <c r="J111" s="26" t="s">
        <v>271</v>
      </c>
      <c r="K111" s="24" t="s">
        <v>235</v>
      </c>
      <c r="L111" s="26" t="s">
        <v>236</v>
      </c>
      <c r="M111" s="24" t="s">
        <v>237</v>
      </c>
      <c r="N111" s="24" t="s">
        <v>238</v>
      </c>
      <c r="O111" s="26" t="s">
        <v>239</v>
      </c>
      <c r="P111" s="24" t="s">
        <v>240</v>
      </c>
      <c r="Q111" s="24" t="s">
        <v>241</v>
      </c>
      <c r="R111" s="26" t="s">
        <v>242</v>
      </c>
      <c r="S111" s="27" t="s">
        <v>243</v>
      </c>
      <c r="T111" s="129" t="s">
        <v>245</v>
      </c>
      <c r="U111" s="129" t="s">
        <v>272</v>
      </c>
      <c r="V111" s="129" t="s">
        <v>247</v>
      </c>
    </row>
    <row r="112" spans="1:22" x14ac:dyDescent="0.2">
      <c r="B112" s="29" t="s">
        <v>363</v>
      </c>
      <c r="C112" s="29" t="s">
        <v>48</v>
      </c>
      <c r="D112" s="36">
        <v>0</v>
      </c>
      <c r="E112" s="29">
        <v>337</v>
      </c>
      <c r="F112" s="29">
        <v>200</v>
      </c>
      <c r="G112" s="15">
        <v>100</v>
      </c>
      <c r="H112" s="17" t="s">
        <v>583</v>
      </c>
      <c r="I112" s="29" t="s">
        <v>348</v>
      </c>
      <c r="J112" s="46">
        <v>2</v>
      </c>
      <c r="K112" t="s">
        <v>302</v>
      </c>
      <c r="L112" s="141" t="s">
        <v>364</v>
      </c>
      <c r="M112" t="s">
        <v>335</v>
      </c>
      <c r="N112" s="29"/>
      <c r="O112" s="141"/>
      <c r="P112" s="29"/>
      <c r="Q112" s="29"/>
      <c r="R112" s="141"/>
      <c r="S112" s="29"/>
    </row>
    <row r="113" spans="1:22" x14ac:dyDescent="0.2">
      <c r="B113" t="s">
        <v>365</v>
      </c>
      <c r="C113" s="29" t="s">
        <v>48</v>
      </c>
      <c r="D113" s="36">
        <v>0</v>
      </c>
      <c r="E113" s="29">
        <v>75</v>
      </c>
      <c r="F113" s="29">
        <v>50</v>
      </c>
      <c r="G113" s="15">
        <v>14</v>
      </c>
      <c r="H113" t="s">
        <v>366</v>
      </c>
      <c r="I113" s="29" t="s">
        <v>348</v>
      </c>
      <c r="J113" s="46">
        <v>2</v>
      </c>
      <c r="K113" t="s">
        <v>302</v>
      </c>
      <c r="L113" s="141" t="s">
        <v>367</v>
      </c>
      <c r="M113" t="s">
        <v>335</v>
      </c>
      <c r="T113" s="29"/>
      <c r="U113" s="29"/>
      <c r="V113" s="29"/>
    </row>
    <row r="114" spans="1:22" x14ac:dyDescent="0.2">
      <c r="B114" s="135" t="s">
        <v>570</v>
      </c>
      <c r="C114" s="52" t="s">
        <v>55</v>
      </c>
      <c r="D114" s="274">
        <v>0</v>
      </c>
      <c r="E114" s="154">
        <v>10</v>
      </c>
      <c r="F114" s="154">
        <v>5</v>
      </c>
      <c r="G114" s="361">
        <v>2.5</v>
      </c>
      <c r="H114" s="38" t="s">
        <v>726</v>
      </c>
      <c r="I114" s="28" t="s">
        <v>315</v>
      </c>
      <c r="J114" s="46">
        <v>1</v>
      </c>
      <c r="K114" t="s">
        <v>306</v>
      </c>
      <c r="L114" s="134" t="s">
        <v>727</v>
      </c>
      <c r="M114" t="s">
        <v>308</v>
      </c>
    </row>
    <row r="115" spans="1:22" x14ac:dyDescent="0.2">
      <c r="B115" s="135" t="s">
        <v>571</v>
      </c>
      <c r="C115" s="52" t="s">
        <v>57</v>
      </c>
      <c r="D115" s="153">
        <v>0</v>
      </c>
      <c r="E115" s="154">
        <v>30</v>
      </c>
      <c r="F115" s="154">
        <v>25</v>
      </c>
      <c r="G115" s="154">
        <v>20</v>
      </c>
      <c r="H115" s="33"/>
      <c r="I115" t="s">
        <v>290</v>
      </c>
      <c r="J115" s="46">
        <v>3</v>
      </c>
      <c r="K115" t="s">
        <v>306</v>
      </c>
      <c r="L115" s="152" t="s">
        <v>354</v>
      </c>
      <c r="M115" t="s">
        <v>308</v>
      </c>
    </row>
    <row r="116" spans="1:22" x14ac:dyDescent="0.2">
      <c r="B116" t="s">
        <v>368</v>
      </c>
      <c r="C116" s="29" t="s">
        <v>48</v>
      </c>
      <c r="D116" s="36">
        <v>0</v>
      </c>
      <c r="E116" s="15"/>
      <c r="F116" s="15"/>
      <c r="G116" s="15"/>
      <c r="H116" s="33"/>
      <c r="I116" s="28" t="s">
        <v>326</v>
      </c>
      <c r="J116" s="46"/>
      <c r="K116" s="28"/>
    </row>
    <row r="117" spans="1:22" x14ac:dyDescent="0.2">
      <c r="B117" s="135" t="s">
        <v>569</v>
      </c>
      <c r="C117" s="52" t="s">
        <v>55</v>
      </c>
      <c r="D117" s="274">
        <v>0</v>
      </c>
      <c r="E117" s="361">
        <v>4</v>
      </c>
      <c r="F117" s="361">
        <f>8.8/4</f>
        <v>2.2000000000000002</v>
      </c>
      <c r="G117" s="361">
        <v>1</v>
      </c>
      <c r="H117" s="177" t="s">
        <v>725</v>
      </c>
      <c r="I117" s="28" t="s">
        <v>290</v>
      </c>
      <c r="J117" s="166">
        <v>3</v>
      </c>
      <c r="K117" t="s">
        <v>302</v>
      </c>
      <c r="L117" s="134" t="s">
        <v>370</v>
      </c>
      <c r="M117" t="s">
        <v>335</v>
      </c>
      <c r="N117" t="s">
        <v>306</v>
      </c>
      <c r="O117" s="158" t="s">
        <v>725</v>
      </c>
      <c r="P117" t="s">
        <v>308</v>
      </c>
    </row>
    <row r="118" spans="1:22" x14ac:dyDescent="0.2">
      <c r="B118" s="135" t="s">
        <v>572</v>
      </c>
      <c r="C118" s="52" t="s">
        <v>57</v>
      </c>
      <c r="D118" s="153">
        <v>0</v>
      </c>
      <c r="E118" s="154">
        <v>30</v>
      </c>
      <c r="F118" s="154">
        <v>25</v>
      </c>
      <c r="G118" s="154">
        <v>20</v>
      </c>
      <c r="H118" s="33"/>
      <c r="I118" t="s">
        <v>290</v>
      </c>
      <c r="J118" s="46">
        <v>3</v>
      </c>
      <c r="K118" t="s">
        <v>306</v>
      </c>
      <c r="L118" s="152" t="s">
        <v>354</v>
      </c>
      <c r="M118" t="s">
        <v>308</v>
      </c>
    </row>
    <row r="119" spans="1:22" x14ac:dyDescent="0.2">
      <c r="B119" t="s">
        <v>369</v>
      </c>
      <c r="C119" s="29" t="s">
        <v>48</v>
      </c>
      <c r="D119" s="20"/>
      <c r="E119" s="14"/>
      <c r="F119" s="14"/>
      <c r="G119" s="14"/>
      <c r="H119" s="33"/>
      <c r="I119" t="s">
        <v>326</v>
      </c>
      <c r="J119" s="46" t="s">
        <v>327</v>
      </c>
    </row>
    <row r="120" spans="1:22" x14ac:dyDescent="0.2">
      <c r="B120" s="135" t="s">
        <v>573</v>
      </c>
      <c r="C120" s="52" t="s">
        <v>55</v>
      </c>
      <c r="D120" s="186">
        <v>0</v>
      </c>
      <c r="E120" s="274">
        <v>20</v>
      </c>
      <c r="F120" s="274">
        <v>10</v>
      </c>
      <c r="G120" s="274">
        <v>5</v>
      </c>
      <c r="H120" s="33" t="s">
        <v>723</v>
      </c>
      <c r="I120" s="28" t="s">
        <v>275</v>
      </c>
      <c r="J120" s="46">
        <v>2</v>
      </c>
      <c r="K120" t="s">
        <v>306</v>
      </c>
      <c r="L120" s="134" t="s">
        <v>722</v>
      </c>
      <c r="M120" t="s">
        <v>308</v>
      </c>
    </row>
    <row r="121" spans="1:22" s="29" customFormat="1" x14ac:dyDescent="0.2">
      <c r="A121" s="21"/>
      <c r="B121" s="135" t="s">
        <v>371</v>
      </c>
      <c r="C121" s="52" t="s">
        <v>57</v>
      </c>
      <c r="D121" s="186">
        <v>0</v>
      </c>
      <c r="E121" s="154">
        <v>30</v>
      </c>
      <c r="F121" s="154">
        <v>25</v>
      </c>
      <c r="G121" s="154">
        <v>20</v>
      </c>
      <c r="H121" s="400" t="s">
        <v>731</v>
      </c>
      <c r="I121" t="s">
        <v>290</v>
      </c>
      <c r="J121" s="46">
        <v>3</v>
      </c>
      <c r="K121" t="s">
        <v>306</v>
      </c>
      <c r="L121" s="152" t="s">
        <v>354</v>
      </c>
      <c r="M121" t="s">
        <v>308</v>
      </c>
      <c r="N121"/>
      <c r="O121" s="134"/>
      <c r="P121"/>
      <c r="Q121"/>
      <c r="R121" s="134"/>
      <c r="S121"/>
      <c r="T121"/>
      <c r="U121"/>
      <c r="V121"/>
    </row>
    <row r="122" spans="1:22" x14ac:dyDescent="0.2">
      <c r="A122" s="21"/>
      <c r="B122" s="135" t="s">
        <v>574</v>
      </c>
      <c r="C122" s="52" t="s">
        <v>55</v>
      </c>
      <c r="D122" s="186">
        <v>0</v>
      </c>
      <c r="E122" s="274">
        <f>E120*10%</f>
        <v>2</v>
      </c>
      <c r="F122" s="274">
        <f t="shared" ref="F122:G122" si="4">F120*10%</f>
        <v>1</v>
      </c>
      <c r="G122" s="399">
        <f t="shared" si="4"/>
        <v>0.5</v>
      </c>
      <c r="H122" s="28" t="s">
        <v>728</v>
      </c>
      <c r="I122" s="28" t="s">
        <v>275</v>
      </c>
      <c r="J122" s="46">
        <v>2</v>
      </c>
      <c r="K122" t="s">
        <v>306</v>
      </c>
      <c r="L122" s="134" t="s">
        <v>724</v>
      </c>
      <c r="M122" t="s">
        <v>308</v>
      </c>
    </row>
    <row r="123" spans="1:22" x14ac:dyDescent="0.2">
      <c r="A123" s="21"/>
      <c r="B123" s="135" t="s">
        <v>372</v>
      </c>
      <c r="C123" s="52" t="s">
        <v>57</v>
      </c>
      <c r="D123" s="186">
        <v>0</v>
      </c>
      <c r="E123" s="274">
        <v>65</v>
      </c>
      <c r="F123" s="274">
        <v>60</v>
      </c>
      <c r="G123" s="274">
        <v>55</v>
      </c>
      <c r="H123" s="271" t="s">
        <v>729</v>
      </c>
      <c r="I123" t="s">
        <v>290</v>
      </c>
      <c r="J123" s="46">
        <v>3</v>
      </c>
      <c r="K123" s="28" t="s">
        <v>306</v>
      </c>
      <c r="L123" s="152" t="s">
        <v>373</v>
      </c>
      <c r="M123" t="s">
        <v>308</v>
      </c>
    </row>
    <row r="124" spans="1:22" x14ac:dyDescent="0.2">
      <c r="A124" s="21"/>
      <c r="B124" t="s">
        <v>374</v>
      </c>
      <c r="C124" s="29" t="s">
        <v>48</v>
      </c>
      <c r="D124" s="36"/>
      <c r="E124" s="15"/>
      <c r="F124" s="15"/>
      <c r="G124" s="15"/>
      <c r="H124" s="38" t="s">
        <v>730</v>
      </c>
      <c r="I124" t="s">
        <v>326</v>
      </c>
      <c r="J124" s="46" t="s">
        <v>327</v>
      </c>
    </row>
    <row r="125" spans="1:22" x14ac:dyDescent="0.2">
      <c r="A125" s="28"/>
      <c r="B125" s="135" t="s">
        <v>375</v>
      </c>
      <c r="C125" s="52" t="s">
        <v>55</v>
      </c>
      <c r="D125" s="36">
        <v>0</v>
      </c>
      <c r="E125" s="274">
        <f>E120</f>
        <v>20</v>
      </c>
      <c r="F125" s="274">
        <f t="shared" ref="F125:G125" si="5">F120</f>
        <v>10</v>
      </c>
      <c r="G125" s="274">
        <f t="shared" si="5"/>
        <v>5</v>
      </c>
      <c r="I125" s="28" t="str">
        <f>I120</f>
        <v>Enige aanname</v>
      </c>
      <c r="J125" s="46">
        <f>J120</f>
        <v>2</v>
      </c>
      <c r="K125" s="28" t="str">
        <f>K120</f>
        <v>Veenweiden Innovatiecentrum, 2021</v>
      </c>
      <c r="L125" s="134" t="str">
        <f>L120</f>
        <v>Gem. per 5 hectare 1 uur p/wk</v>
      </c>
      <c r="M125" t="str">
        <f>M120</f>
        <v>Teeltproef</v>
      </c>
    </row>
    <row r="126" spans="1:22" x14ac:dyDescent="0.2">
      <c r="A126" s="28"/>
      <c r="B126" s="135" t="s">
        <v>376</v>
      </c>
      <c r="C126" s="52" t="s">
        <v>57</v>
      </c>
      <c r="D126" s="36">
        <v>0</v>
      </c>
      <c r="E126" s="154">
        <v>65</v>
      </c>
      <c r="F126" s="154">
        <v>55</v>
      </c>
      <c r="G126" s="154">
        <v>45</v>
      </c>
      <c r="H126" s="28"/>
      <c r="I126" s="28" t="s">
        <v>275</v>
      </c>
      <c r="J126" s="46">
        <v>2</v>
      </c>
      <c r="K126" s="28" t="s">
        <v>311</v>
      </c>
      <c r="L126" s="134" t="s">
        <v>584</v>
      </c>
      <c r="M126" t="s">
        <v>325</v>
      </c>
    </row>
    <row r="127" spans="1:22" x14ac:dyDescent="0.2">
      <c r="A127" s="28"/>
      <c r="B127" t="s">
        <v>377</v>
      </c>
      <c r="C127" s="29" t="s">
        <v>48</v>
      </c>
      <c r="D127" s="36"/>
      <c r="E127" s="15"/>
      <c r="F127" s="15"/>
      <c r="G127" s="15"/>
      <c r="H127" s="38"/>
      <c r="I127" t="s">
        <v>326</v>
      </c>
      <c r="J127" s="46" t="s">
        <v>327</v>
      </c>
    </row>
    <row r="128" spans="1:22" x14ac:dyDescent="0.2">
      <c r="A128" s="28"/>
      <c r="H128" s="33"/>
    </row>
    <row r="129" spans="1:22" s="29" customFormat="1" x14ac:dyDescent="0.2">
      <c r="A129" s="21"/>
      <c r="B129" s="23" t="s">
        <v>378</v>
      </c>
      <c r="C129" s="25" t="s">
        <v>248</v>
      </c>
      <c r="D129" s="25" t="s">
        <v>63</v>
      </c>
      <c r="E129" s="25" t="s">
        <v>52</v>
      </c>
      <c r="F129" s="25" t="s">
        <v>54</v>
      </c>
      <c r="G129" s="25" t="s">
        <v>51</v>
      </c>
      <c r="H129" s="25" t="s">
        <v>244</v>
      </c>
      <c r="I129" s="24" t="s">
        <v>270</v>
      </c>
      <c r="J129" s="26" t="s">
        <v>271</v>
      </c>
      <c r="K129" s="24" t="s">
        <v>235</v>
      </c>
      <c r="L129" s="26" t="s">
        <v>236</v>
      </c>
      <c r="M129" s="24" t="s">
        <v>237</v>
      </c>
      <c r="N129" s="24" t="s">
        <v>238</v>
      </c>
      <c r="O129" s="26" t="s">
        <v>239</v>
      </c>
      <c r="P129" s="24" t="s">
        <v>240</v>
      </c>
      <c r="Q129" s="24" t="s">
        <v>241</v>
      </c>
      <c r="R129" s="26" t="s">
        <v>242</v>
      </c>
      <c r="S129" s="27" t="s">
        <v>243</v>
      </c>
      <c r="T129" s="129" t="s">
        <v>245</v>
      </c>
      <c r="U129" s="129" t="s">
        <v>272</v>
      </c>
      <c r="V129" s="129" t="s">
        <v>247</v>
      </c>
    </row>
    <row r="130" spans="1:22" x14ac:dyDescent="0.2">
      <c r="A130" s="28"/>
      <c r="B130" s="18" t="s">
        <v>379</v>
      </c>
      <c r="C130" s="18" t="s">
        <v>48</v>
      </c>
      <c r="D130" s="15">
        <v>0</v>
      </c>
      <c r="E130" s="18">
        <v>50</v>
      </c>
      <c r="F130" s="18">
        <v>25</v>
      </c>
      <c r="G130" s="18">
        <v>10</v>
      </c>
      <c r="H130" s="17"/>
      <c r="I130" s="21" t="s">
        <v>275</v>
      </c>
      <c r="J130" s="46">
        <v>2</v>
      </c>
      <c r="K130" t="s">
        <v>311</v>
      </c>
      <c r="L130" s="141" t="s">
        <v>585</v>
      </c>
      <c r="M130" t="s">
        <v>313</v>
      </c>
      <c r="N130" s="29"/>
      <c r="O130" s="141"/>
      <c r="P130" s="29"/>
      <c r="Q130" s="29"/>
      <c r="R130" s="141"/>
      <c r="S130" s="29"/>
      <c r="T130" s="29"/>
      <c r="U130" s="29"/>
      <c r="V130" s="29"/>
    </row>
    <row r="131" spans="1:22" x14ac:dyDescent="0.2">
      <c r="A131" s="28"/>
      <c r="B131" s="18" t="s">
        <v>380</v>
      </c>
      <c r="C131" s="18" t="s">
        <v>48</v>
      </c>
      <c r="D131" s="15">
        <v>0</v>
      </c>
      <c r="E131" s="18">
        <v>50</v>
      </c>
      <c r="F131" s="18">
        <v>25</v>
      </c>
      <c r="G131" s="18">
        <v>10</v>
      </c>
      <c r="H131" s="33"/>
      <c r="I131" s="21" t="s">
        <v>275</v>
      </c>
      <c r="J131" s="46">
        <v>2</v>
      </c>
      <c r="K131" t="s">
        <v>311</v>
      </c>
      <c r="L131" s="141" t="s">
        <v>585</v>
      </c>
      <c r="M131" t="s">
        <v>313</v>
      </c>
    </row>
    <row r="132" spans="1:22" x14ac:dyDescent="0.2">
      <c r="A132" s="28"/>
      <c r="B132" s="18" t="s">
        <v>381</v>
      </c>
      <c r="C132" s="18" t="s">
        <v>48</v>
      </c>
      <c r="D132" s="15">
        <v>0</v>
      </c>
      <c r="E132" s="18">
        <v>75</v>
      </c>
      <c r="F132" s="18">
        <v>50</v>
      </c>
      <c r="G132" s="18">
        <v>10</v>
      </c>
      <c r="H132" s="33"/>
      <c r="I132" s="21" t="s">
        <v>275</v>
      </c>
      <c r="J132" s="46">
        <v>2</v>
      </c>
      <c r="K132" t="s">
        <v>311</v>
      </c>
      <c r="L132" s="134" t="s">
        <v>586</v>
      </c>
      <c r="M132" t="s">
        <v>313</v>
      </c>
    </row>
    <row r="133" spans="1:22" x14ac:dyDescent="0.2">
      <c r="A133" s="28"/>
    </row>
    <row r="134" spans="1:22" x14ac:dyDescent="0.2">
      <c r="A134" s="28"/>
      <c r="B134" s="23" t="s">
        <v>382</v>
      </c>
      <c r="C134" s="25" t="s">
        <v>248</v>
      </c>
      <c r="D134" s="25" t="s">
        <v>63</v>
      </c>
      <c r="E134" s="25" t="s">
        <v>52</v>
      </c>
      <c r="F134" s="25" t="s">
        <v>54</v>
      </c>
      <c r="G134" s="25" t="s">
        <v>51</v>
      </c>
      <c r="H134" s="25" t="s">
        <v>244</v>
      </c>
      <c r="I134" s="24" t="s">
        <v>270</v>
      </c>
      <c r="J134" s="26" t="s">
        <v>271</v>
      </c>
      <c r="K134" s="24" t="s">
        <v>235</v>
      </c>
      <c r="L134" s="26" t="s">
        <v>236</v>
      </c>
      <c r="M134" s="24" t="s">
        <v>237</v>
      </c>
      <c r="N134" s="24" t="s">
        <v>238</v>
      </c>
      <c r="O134" s="26" t="s">
        <v>239</v>
      </c>
      <c r="P134" s="24" t="s">
        <v>240</v>
      </c>
      <c r="Q134" s="24" t="s">
        <v>241</v>
      </c>
      <c r="R134" s="26" t="s">
        <v>242</v>
      </c>
      <c r="S134" s="27" t="s">
        <v>243</v>
      </c>
      <c r="T134" s="129" t="s">
        <v>245</v>
      </c>
      <c r="U134" s="129" t="s">
        <v>272</v>
      </c>
      <c r="V134" s="129" t="s">
        <v>247</v>
      </c>
    </row>
    <row r="135" spans="1:22" s="29" customFormat="1" x14ac:dyDescent="0.2">
      <c r="A135" s="28"/>
      <c r="B135" s="18" t="s">
        <v>383</v>
      </c>
      <c r="C135" s="18" t="s">
        <v>48</v>
      </c>
      <c r="D135" s="15">
        <v>0</v>
      </c>
      <c r="E135" s="34">
        <v>100</v>
      </c>
      <c r="F135" s="34">
        <v>73.400000000000006</v>
      </c>
      <c r="G135" s="34">
        <v>2.81</v>
      </c>
      <c r="H135" s="18"/>
      <c r="I135" s="29" t="s">
        <v>275</v>
      </c>
      <c r="J135" s="46">
        <v>2</v>
      </c>
      <c r="K135" t="s">
        <v>302</v>
      </c>
      <c r="L135" s="141" t="s">
        <v>384</v>
      </c>
      <c r="M135" t="s">
        <v>335</v>
      </c>
      <c r="O135" s="141"/>
      <c r="R135" s="141"/>
      <c r="T135"/>
      <c r="U135"/>
      <c r="V135"/>
    </row>
    <row r="136" spans="1:22" x14ac:dyDescent="0.2">
      <c r="A136" s="28"/>
      <c r="B136" s="18" t="s">
        <v>385</v>
      </c>
      <c r="C136" s="18" t="s">
        <v>48</v>
      </c>
      <c r="D136" s="15">
        <v>0</v>
      </c>
      <c r="E136" s="15">
        <v>100</v>
      </c>
      <c r="F136" s="15">
        <v>75</v>
      </c>
      <c r="G136" s="15">
        <v>25</v>
      </c>
      <c r="H136" s="38"/>
      <c r="I136" s="29" t="s">
        <v>275</v>
      </c>
      <c r="J136" s="166">
        <v>2</v>
      </c>
      <c r="K136" t="s">
        <v>311</v>
      </c>
      <c r="L136" s="134" t="s">
        <v>587</v>
      </c>
      <c r="M136" t="s">
        <v>313</v>
      </c>
    </row>
    <row r="137" spans="1:22" x14ac:dyDescent="0.2">
      <c r="A137" s="28"/>
    </row>
    <row r="138" spans="1:22" x14ac:dyDescent="0.2">
      <c r="A138" s="28"/>
      <c r="B138" s="23" t="s">
        <v>386</v>
      </c>
      <c r="C138" s="24" t="s">
        <v>248</v>
      </c>
      <c r="D138" s="25" t="s">
        <v>63</v>
      </c>
      <c r="E138" s="25" t="s">
        <v>52</v>
      </c>
      <c r="F138" s="25" t="s">
        <v>54</v>
      </c>
      <c r="G138" s="25" t="s">
        <v>51</v>
      </c>
      <c r="H138" s="24" t="s">
        <v>244</v>
      </c>
      <c r="I138" s="24" t="s">
        <v>270</v>
      </c>
      <c r="J138" s="26" t="s">
        <v>271</v>
      </c>
      <c r="K138" s="24" t="s">
        <v>235</v>
      </c>
      <c r="L138" s="26" t="s">
        <v>236</v>
      </c>
      <c r="M138" s="24" t="s">
        <v>237</v>
      </c>
      <c r="N138" s="24" t="s">
        <v>238</v>
      </c>
      <c r="O138" s="26" t="s">
        <v>239</v>
      </c>
      <c r="P138" s="24" t="s">
        <v>240</v>
      </c>
      <c r="Q138" s="24" t="s">
        <v>241</v>
      </c>
      <c r="R138" s="26" t="s">
        <v>242</v>
      </c>
      <c r="S138" s="27" t="s">
        <v>243</v>
      </c>
      <c r="T138" s="129" t="s">
        <v>245</v>
      </c>
      <c r="U138" s="129" t="s">
        <v>272</v>
      </c>
      <c r="V138" s="129" t="s">
        <v>247</v>
      </c>
    </row>
    <row r="139" spans="1:22" x14ac:dyDescent="0.2">
      <c r="B139" s="30" t="str">
        <f>B80</f>
        <v>Grondverzet - totaal</v>
      </c>
      <c r="C139" s="29" t="s">
        <v>387</v>
      </c>
      <c r="D139" s="32">
        <v>0</v>
      </c>
      <c r="E139" s="32">
        <v>0.05</v>
      </c>
      <c r="F139" s="84">
        <v>2.5000000000000001E-2</v>
      </c>
      <c r="G139" s="32">
        <v>0.01</v>
      </c>
      <c r="H139" s="18"/>
      <c r="I139" s="29" t="s">
        <v>275</v>
      </c>
      <c r="J139" s="166">
        <v>2</v>
      </c>
      <c r="K139" t="s">
        <v>311</v>
      </c>
      <c r="L139" s="143" t="s">
        <v>588</v>
      </c>
      <c r="M139" t="s">
        <v>313</v>
      </c>
      <c r="N139" s="18"/>
      <c r="O139" s="143"/>
      <c r="P139" s="18"/>
      <c r="Q139" s="18"/>
      <c r="R139" s="143"/>
      <c r="S139" s="18"/>
    </row>
    <row r="140" spans="1:22" x14ac:dyDescent="0.2">
      <c r="B140" s="29" t="str">
        <f>B86</f>
        <v>Watertoevoer - totaal</v>
      </c>
      <c r="C140" t="s">
        <v>387</v>
      </c>
      <c r="D140" s="4">
        <v>0</v>
      </c>
      <c r="E140" s="32">
        <v>0.1</v>
      </c>
      <c r="F140" s="32">
        <v>0.05</v>
      </c>
      <c r="G140" s="84">
        <v>2.5000000000000001E-2</v>
      </c>
      <c r="I140" s="29" t="s">
        <v>275</v>
      </c>
      <c r="J140" s="166">
        <v>2</v>
      </c>
      <c r="K140" t="s">
        <v>311</v>
      </c>
      <c r="L140" s="134" t="s">
        <v>589</v>
      </c>
      <c r="M140" t="s">
        <v>313</v>
      </c>
    </row>
    <row r="141" spans="1:22" x14ac:dyDescent="0.2">
      <c r="B141" s="29" t="str">
        <f>B89</f>
        <v>Waterafvoer - totaal</v>
      </c>
      <c r="C141" t="s">
        <v>387</v>
      </c>
      <c r="D141" s="4">
        <v>0</v>
      </c>
      <c r="E141" s="32">
        <v>0.1</v>
      </c>
      <c r="F141" s="32">
        <v>0.05</v>
      </c>
      <c r="G141" s="84">
        <v>2.5000000000000001E-2</v>
      </c>
      <c r="I141" s="29" t="s">
        <v>275</v>
      </c>
      <c r="J141" s="166">
        <v>2</v>
      </c>
      <c r="K141" t="s">
        <v>311</v>
      </c>
      <c r="L141" s="134" t="s">
        <v>589</v>
      </c>
      <c r="M141" t="s">
        <v>313</v>
      </c>
    </row>
    <row r="142" spans="1:22" x14ac:dyDescent="0.2">
      <c r="B142" s="29" t="str">
        <f>B90</f>
        <v>Pompen - aanschaf incl. stroomvoorziening</v>
      </c>
      <c r="C142" t="s">
        <v>387</v>
      </c>
      <c r="D142" s="4">
        <v>0</v>
      </c>
      <c r="E142" s="32">
        <v>0.15</v>
      </c>
      <c r="F142" s="32">
        <v>0.1</v>
      </c>
      <c r="G142" s="32">
        <v>0.05</v>
      </c>
      <c r="I142" s="29" t="s">
        <v>275</v>
      </c>
      <c r="J142" s="166">
        <v>2</v>
      </c>
      <c r="K142" t="s">
        <v>311</v>
      </c>
      <c r="L142" s="134" t="s">
        <v>590</v>
      </c>
      <c r="M142" t="s">
        <v>313</v>
      </c>
    </row>
    <row r="143" spans="1:22" x14ac:dyDescent="0.2">
      <c r="B143" s="29" t="str">
        <f>B91</f>
        <v>Waterpeilbeheersing (schuiven, slibkisten, etc.)</v>
      </c>
      <c r="C143" t="s">
        <v>387</v>
      </c>
      <c r="D143" s="4">
        <v>0</v>
      </c>
      <c r="E143" s="32">
        <v>0.1</v>
      </c>
      <c r="F143" s="32">
        <v>0.05</v>
      </c>
      <c r="G143" s="84">
        <v>2.5000000000000001E-2</v>
      </c>
      <c r="I143" s="29" t="s">
        <v>275</v>
      </c>
      <c r="J143" s="166">
        <v>2</v>
      </c>
      <c r="K143" t="s">
        <v>311</v>
      </c>
      <c r="L143" s="134" t="s">
        <v>589</v>
      </c>
      <c r="M143" t="s">
        <v>313</v>
      </c>
    </row>
    <row r="144" spans="1:22" x14ac:dyDescent="0.2">
      <c r="B144" s="29" t="str">
        <f>B92</f>
        <v>Afrastering &amp; vraatbescherming</v>
      </c>
      <c r="C144" t="s">
        <v>387</v>
      </c>
      <c r="D144" s="4">
        <v>0</v>
      </c>
      <c r="E144" s="32">
        <v>0.1</v>
      </c>
      <c r="F144" s="32">
        <v>0.05</v>
      </c>
      <c r="G144" s="84">
        <v>2.5000000000000001E-2</v>
      </c>
      <c r="I144" s="29" t="s">
        <v>275</v>
      </c>
      <c r="J144" s="166">
        <v>2</v>
      </c>
      <c r="K144" t="s">
        <v>311</v>
      </c>
      <c r="L144" s="134" t="s">
        <v>589</v>
      </c>
      <c r="M144" t="s">
        <v>313</v>
      </c>
    </row>
    <row r="145" spans="2:22" x14ac:dyDescent="0.2">
      <c r="B145" s="29" t="str">
        <f>B93</f>
        <v>Overige kosten (bijv. folie)</v>
      </c>
      <c r="C145" t="s">
        <v>387</v>
      </c>
      <c r="D145" s="4">
        <v>0</v>
      </c>
      <c r="E145" s="32">
        <v>0.1</v>
      </c>
      <c r="F145" s="32">
        <v>0.05</v>
      </c>
      <c r="G145" s="84">
        <v>2.5000000000000001E-2</v>
      </c>
      <c r="I145" s="29" t="s">
        <v>275</v>
      </c>
      <c r="J145" s="166">
        <v>2</v>
      </c>
      <c r="K145" t="s">
        <v>311</v>
      </c>
      <c r="L145" s="134" t="s">
        <v>589</v>
      </c>
      <c r="M145" t="s">
        <v>313</v>
      </c>
    </row>
    <row r="146" spans="2:22" s="29" customFormat="1" x14ac:dyDescent="0.2">
      <c r="B146"/>
      <c r="C146"/>
      <c r="D146"/>
      <c r="E146"/>
      <c r="F146"/>
      <c r="G146"/>
      <c r="H146"/>
      <c r="I146"/>
      <c r="J146" s="47"/>
      <c r="K146"/>
      <c r="L146" s="134"/>
      <c r="M146"/>
      <c r="N146"/>
      <c r="O146" s="134"/>
      <c r="P146"/>
      <c r="Q146"/>
      <c r="R146" s="134"/>
      <c r="S146"/>
      <c r="T146"/>
      <c r="U146"/>
      <c r="V146"/>
    </row>
    <row r="147" spans="2:22" x14ac:dyDescent="0.2">
      <c r="B147" s="23" t="s">
        <v>388</v>
      </c>
      <c r="C147" s="24" t="s">
        <v>248</v>
      </c>
      <c r="D147" s="25" t="s">
        <v>63</v>
      </c>
      <c r="E147" s="25" t="s">
        <v>52</v>
      </c>
      <c r="F147" s="25" t="s">
        <v>54</v>
      </c>
      <c r="G147" s="25" t="s">
        <v>51</v>
      </c>
      <c r="H147" s="24" t="s">
        <v>244</v>
      </c>
      <c r="I147" s="24" t="s">
        <v>270</v>
      </c>
      <c r="J147" s="26" t="s">
        <v>271</v>
      </c>
      <c r="K147" s="24" t="s">
        <v>235</v>
      </c>
      <c r="L147" s="26" t="s">
        <v>236</v>
      </c>
      <c r="M147" s="24" t="s">
        <v>237</v>
      </c>
      <c r="N147" s="24" t="s">
        <v>238</v>
      </c>
      <c r="O147" s="26" t="s">
        <v>239</v>
      </c>
      <c r="P147" s="24" t="s">
        <v>240</v>
      </c>
      <c r="Q147" s="24" t="s">
        <v>241</v>
      </c>
      <c r="R147" s="26" t="s">
        <v>242</v>
      </c>
      <c r="S147" s="27" t="s">
        <v>243</v>
      </c>
      <c r="T147" s="129" t="s">
        <v>245</v>
      </c>
      <c r="U147" s="129" t="s">
        <v>272</v>
      </c>
      <c r="V147" s="129" t="s">
        <v>247</v>
      </c>
    </row>
    <row r="148" spans="2:22" x14ac:dyDescent="0.2">
      <c r="B148" t="s">
        <v>389</v>
      </c>
      <c r="C148" t="s">
        <v>58</v>
      </c>
      <c r="D148" s="4">
        <v>0</v>
      </c>
      <c r="E148" s="329">
        <v>0.08</v>
      </c>
      <c r="F148" s="329">
        <v>0.05</v>
      </c>
      <c r="G148" s="329">
        <v>0.02</v>
      </c>
      <c r="H148" s="28"/>
      <c r="I148" s="29" t="s">
        <v>275</v>
      </c>
      <c r="J148" s="166">
        <v>2</v>
      </c>
      <c r="K148" t="s">
        <v>306</v>
      </c>
      <c r="L148" s="143" t="s">
        <v>646</v>
      </c>
      <c r="M148" t="s">
        <v>308</v>
      </c>
      <c r="N148" s="28" t="s">
        <v>311</v>
      </c>
      <c r="O148" s="143" t="s">
        <v>646</v>
      </c>
      <c r="P148" t="s">
        <v>313</v>
      </c>
    </row>
    <row r="149" spans="2:22" x14ac:dyDescent="0.2">
      <c r="B149" t="s">
        <v>390</v>
      </c>
      <c r="C149" t="s">
        <v>59</v>
      </c>
      <c r="D149" s="3">
        <v>0</v>
      </c>
      <c r="E149" s="3">
        <v>30</v>
      </c>
      <c r="F149" s="3">
        <v>20</v>
      </c>
      <c r="G149" s="3">
        <v>10</v>
      </c>
      <c r="I149" s="29" t="s">
        <v>275</v>
      </c>
      <c r="J149" s="166">
        <v>2</v>
      </c>
      <c r="K149" t="s">
        <v>311</v>
      </c>
      <c r="L149" s="134" t="s">
        <v>312</v>
      </c>
      <c r="M149" t="s">
        <v>313</v>
      </c>
      <c r="T149" s="29"/>
      <c r="U149" s="29"/>
      <c r="V149" s="29"/>
    </row>
    <row r="150" spans="2:22" x14ac:dyDescent="0.2">
      <c r="B150" t="s">
        <v>391</v>
      </c>
      <c r="C150" t="s">
        <v>211</v>
      </c>
      <c r="D150" s="3"/>
      <c r="E150" s="3"/>
      <c r="F150" s="3"/>
      <c r="G150" s="3"/>
      <c r="I150" t="s">
        <v>326</v>
      </c>
      <c r="J150" s="46" t="s">
        <v>327</v>
      </c>
      <c r="T150" s="29"/>
      <c r="U150" s="29"/>
      <c r="V150" s="29"/>
    </row>
    <row r="151" spans="2:22" x14ac:dyDescent="0.2">
      <c r="B151" t="s">
        <v>392</v>
      </c>
      <c r="C151" t="s">
        <v>59</v>
      </c>
      <c r="D151" s="3">
        <v>0</v>
      </c>
      <c r="E151" s="3">
        <v>20</v>
      </c>
      <c r="F151" s="3">
        <v>10</v>
      </c>
      <c r="G151" s="3">
        <v>5</v>
      </c>
      <c r="I151" t="s">
        <v>348</v>
      </c>
      <c r="J151" s="46">
        <v>2</v>
      </c>
      <c r="K151" t="s">
        <v>306</v>
      </c>
      <c r="L151" s="157" t="s">
        <v>591</v>
      </c>
      <c r="M151" t="s">
        <v>308</v>
      </c>
    </row>
    <row r="152" spans="2:22" x14ac:dyDescent="0.2">
      <c r="B152" t="s">
        <v>393</v>
      </c>
      <c r="C152" t="s">
        <v>211</v>
      </c>
      <c r="D152" s="3"/>
      <c r="E152" s="3"/>
      <c r="F152" s="3"/>
      <c r="G152" s="3"/>
      <c r="I152" t="s">
        <v>326</v>
      </c>
      <c r="J152" s="46" t="s">
        <v>327</v>
      </c>
    </row>
    <row r="155" spans="2:22" ht="17" x14ac:dyDescent="0.2">
      <c r="B155" s="105" t="s">
        <v>72</v>
      </c>
      <c r="C155" s="97"/>
      <c r="D155" s="97"/>
      <c r="E155" s="97"/>
      <c r="F155" s="97"/>
      <c r="G155" s="97"/>
      <c r="H155" s="97"/>
      <c r="I155" s="97"/>
      <c r="J155" s="276"/>
      <c r="K155" s="97"/>
      <c r="L155" s="140"/>
      <c r="M155" s="97"/>
      <c r="N155" s="97"/>
      <c r="O155" s="140"/>
      <c r="P155" s="97"/>
      <c r="Q155" s="97"/>
      <c r="R155" s="140"/>
      <c r="S155" s="97"/>
      <c r="T155" s="97"/>
      <c r="U155" s="97"/>
      <c r="V155" s="97"/>
    </row>
    <row r="156" spans="2:22" x14ac:dyDescent="0.2">
      <c r="B156" s="216"/>
    </row>
    <row r="157" spans="2:22" x14ac:dyDescent="0.2">
      <c r="B157" s="177" t="s">
        <v>394</v>
      </c>
    </row>
    <row r="158" spans="2:22" s="29" customFormat="1" x14ac:dyDescent="0.2">
      <c r="B158" s="177" t="s">
        <v>75</v>
      </c>
      <c r="C158"/>
      <c r="D158"/>
      <c r="E158"/>
      <c r="F158"/>
      <c r="G158"/>
      <c r="H158"/>
      <c r="I158"/>
      <c r="J158" s="47"/>
      <c r="K158"/>
      <c r="L158" s="134"/>
      <c r="M158"/>
      <c r="N158"/>
      <c r="O158" s="134"/>
      <c r="P158"/>
      <c r="Q158"/>
      <c r="R158" s="134"/>
      <c r="S158"/>
      <c r="T158"/>
      <c r="U158"/>
      <c r="V158"/>
    </row>
    <row r="159" spans="2:22" x14ac:dyDescent="0.2">
      <c r="B159" s="177" t="s">
        <v>395</v>
      </c>
    </row>
    <row r="160" spans="2:22" x14ac:dyDescent="0.2">
      <c r="B160" s="177"/>
    </row>
    <row r="161" spans="1:22" x14ac:dyDescent="0.2">
      <c r="B161" s="40" t="s">
        <v>396</v>
      </c>
      <c r="C161" s="31" t="s">
        <v>248</v>
      </c>
      <c r="D161" s="31" t="s">
        <v>63</v>
      </c>
      <c r="E161" s="31" t="s">
        <v>52</v>
      </c>
      <c r="F161" s="31" t="s">
        <v>54</v>
      </c>
      <c r="G161" s="31" t="s">
        <v>51</v>
      </c>
      <c r="H161" s="41" t="s">
        <v>244</v>
      </c>
      <c r="I161" s="41" t="s">
        <v>270</v>
      </c>
      <c r="J161" s="42" t="s">
        <v>271</v>
      </c>
      <c r="K161" s="41" t="s">
        <v>235</v>
      </c>
      <c r="L161" s="42" t="s">
        <v>236</v>
      </c>
      <c r="M161" s="41" t="s">
        <v>237</v>
      </c>
      <c r="N161" s="41" t="s">
        <v>238</v>
      </c>
      <c r="O161" s="42" t="s">
        <v>239</v>
      </c>
      <c r="P161" s="41" t="s">
        <v>240</v>
      </c>
      <c r="Q161" s="41" t="s">
        <v>241</v>
      </c>
      <c r="R161" s="42" t="s">
        <v>242</v>
      </c>
      <c r="S161" s="43" t="s">
        <v>243</v>
      </c>
      <c r="T161" s="130" t="s">
        <v>245</v>
      </c>
      <c r="U161" s="130" t="s">
        <v>272</v>
      </c>
      <c r="V161" s="130" t="s">
        <v>247</v>
      </c>
    </row>
    <row r="162" spans="1:22" x14ac:dyDescent="0.2">
      <c r="B162" t="s">
        <v>397</v>
      </c>
      <c r="C162" s="38" t="s">
        <v>77</v>
      </c>
      <c r="D162" s="35">
        <v>0</v>
      </c>
      <c r="E162" s="44">
        <v>15</v>
      </c>
      <c r="F162" s="44">
        <v>12</v>
      </c>
      <c r="G162" s="44">
        <v>9</v>
      </c>
      <c r="H162" t="s">
        <v>398</v>
      </c>
      <c r="I162" t="s">
        <v>348</v>
      </c>
      <c r="J162" s="46">
        <v>0</v>
      </c>
      <c r="K162" t="s">
        <v>306</v>
      </c>
      <c r="L162" s="157" t="s">
        <v>399</v>
      </c>
      <c r="M162" t="s">
        <v>308</v>
      </c>
      <c r="N162" t="s">
        <v>321</v>
      </c>
      <c r="O162" s="157" t="s">
        <v>399</v>
      </c>
      <c r="P162" t="s">
        <v>308</v>
      </c>
      <c r="Q162" t="s">
        <v>400</v>
      </c>
      <c r="R162" s="157" t="s">
        <v>401</v>
      </c>
      <c r="S162" t="s">
        <v>402</v>
      </c>
    </row>
    <row r="163" spans="1:22" x14ac:dyDescent="0.2">
      <c r="B163" t="s">
        <v>403</v>
      </c>
      <c r="C163" s="38" t="s">
        <v>77</v>
      </c>
      <c r="D163" s="35"/>
      <c r="E163" s="218"/>
      <c r="F163" s="218"/>
      <c r="G163" s="218"/>
      <c r="I163" t="s">
        <v>326</v>
      </c>
      <c r="J163" s="46" t="s">
        <v>327</v>
      </c>
      <c r="T163" s="29"/>
      <c r="U163" s="29"/>
      <c r="V163" s="29"/>
    </row>
    <row r="164" spans="1:22" s="29" customFormat="1" x14ac:dyDescent="0.2">
      <c r="A164"/>
      <c r="B164" s="135" t="s">
        <v>404</v>
      </c>
      <c r="C164" s="158" t="s">
        <v>405</v>
      </c>
      <c r="D164" s="159">
        <v>0</v>
      </c>
      <c r="E164" s="160">
        <v>25</v>
      </c>
      <c r="F164" s="160">
        <v>20</v>
      </c>
      <c r="G164" s="160">
        <v>15</v>
      </c>
      <c r="H164" t="s">
        <v>720</v>
      </c>
      <c r="I164" t="s">
        <v>348</v>
      </c>
      <c r="J164" s="46">
        <v>2</v>
      </c>
      <c r="K164" t="s">
        <v>306</v>
      </c>
      <c r="L164" s="134" t="s">
        <v>406</v>
      </c>
      <c r="M164" t="s">
        <v>308</v>
      </c>
      <c r="N164"/>
      <c r="O164" s="134"/>
      <c r="P164"/>
      <c r="Q164"/>
      <c r="R164" s="134"/>
      <c r="S164"/>
    </row>
    <row r="165" spans="1:22" x14ac:dyDescent="0.2">
      <c r="B165" s="135" t="s">
        <v>407</v>
      </c>
      <c r="C165" s="158" t="s">
        <v>87</v>
      </c>
      <c r="D165" s="159">
        <v>0</v>
      </c>
      <c r="E165" s="160">
        <v>12</v>
      </c>
      <c r="F165" s="160">
        <v>10</v>
      </c>
      <c r="G165" s="160">
        <v>8</v>
      </c>
      <c r="H165" t="s">
        <v>720</v>
      </c>
      <c r="I165" t="s">
        <v>348</v>
      </c>
      <c r="J165" s="46">
        <v>2</v>
      </c>
      <c r="K165" t="s">
        <v>306</v>
      </c>
      <c r="L165" s="134" t="s">
        <v>408</v>
      </c>
      <c r="M165" t="s">
        <v>308</v>
      </c>
      <c r="T165" s="29"/>
      <c r="U165" s="29"/>
      <c r="V165" s="29"/>
    </row>
    <row r="166" spans="1:22" x14ac:dyDescent="0.2">
      <c r="B166" t="s">
        <v>153</v>
      </c>
      <c r="C166" s="38" t="s">
        <v>77</v>
      </c>
      <c r="D166" s="35"/>
      <c r="E166" s="218"/>
      <c r="F166" s="218"/>
      <c r="G166" s="218"/>
      <c r="I166" t="s">
        <v>326</v>
      </c>
      <c r="J166" s="46" t="s">
        <v>327</v>
      </c>
    </row>
    <row r="168" spans="1:22" x14ac:dyDescent="0.2">
      <c r="B168" s="40" t="s">
        <v>409</v>
      </c>
      <c r="C168" s="31" t="s">
        <v>248</v>
      </c>
      <c r="D168" s="31" t="s">
        <v>63</v>
      </c>
      <c r="E168" s="31" t="s">
        <v>52</v>
      </c>
      <c r="F168" s="31" t="s">
        <v>54</v>
      </c>
      <c r="G168" s="31" t="s">
        <v>51</v>
      </c>
      <c r="H168" s="41" t="s">
        <v>244</v>
      </c>
      <c r="I168" s="41" t="s">
        <v>270</v>
      </c>
      <c r="J168" s="42" t="s">
        <v>271</v>
      </c>
      <c r="K168" s="41" t="s">
        <v>235</v>
      </c>
      <c r="L168" s="42" t="s">
        <v>236</v>
      </c>
      <c r="M168" s="41" t="s">
        <v>237</v>
      </c>
      <c r="N168" s="41" t="s">
        <v>238</v>
      </c>
      <c r="O168" s="42" t="s">
        <v>239</v>
      </c>
      <c r="P168" s="41" t="s">
        <v>240</v>
      </c>
      <c r="Q168" s="41" t="s">
        <v>241</v>
      </c>
      <c r="R168" s="42" t="s">
        <v>242</v>
      </c>
      <c r="S168" s="43" t="s">
        <v>243</v>
      </c>
      <c r="T168" s="130" t="s">
        <v>245</v>
      </c>
      <c r="U168" s="130" t="s">
        <v>272</v>
      </c>
      <c r="V168" s="130" t="s">
        <v>247</v>
      </c>
    </row>
    <row r="169" spans="1:22" x14ac:dyDescent="0.2">
      <c r="B169" t="s">
        <v>397</v>
      </c>
      <c r="C169" s="38" t="s">
        <v>77</v>
      </c>
      <c r="D169" s="35">
        <v>0</v>
      </c>
      <c r="E169" s="44">
        <v>15</v>
      </c>
      <c r="F169" s="44">
        <v>12</v>
      </c>
      <c r="G169" s="44">
        <v>9</v>
      </c>
      <c r="H169" t="s">
        <v>398</v>
      </c>
      <c r="I169" t="s">
        <v>348</v>
      </c>
      <c r="J169" s="46">
        <v>0</v>
      </c>
      <c r="K169" t="s">
        <v>306</v>
      </c>
      <c r="L169" s="157" t="s">
        <v>399</v>
      </c>
      <c r="M169" t="s">
        <v>308</v>
      </c>
      <c r="N169" t="s">
        <v>321</v>
      </c>
      <c r="O169" s="157" t="s">
        <v>399</v>
      </c>
      <c r="P169" t="s">
        <v>308</v>
      </c>
      <c r="Q169" t="s">
        <v>400</v>
      </c>
      <c r="R169" s="157" t="s">
        <v>401</v>
      </c>
      <c r="S169" t="s">
        <v>402</v>
      </c>
    </row>
    <row r="170" spans="1:22" x14ac:dyDescent="0.2">
      <c r="B170" t="s">
        <v>403</v>
      </c>
      <c r="C170" s="38" t="s">
        <v>77</v>
      </c>
      <c r="D170" s="35"/>
      <c r="E170" s="218"/>
      <c r="F170" s="218"/>
      <c r="G170" s="218"/>
      <c r="I170" t="s">
        <v>326</v>
      </c>
      <c r="J170" s="46" t="s">
        <v>327</v>
      </c>
    </row>
    <row r="171" spans="1:22" s="48" customFormat="1" x14ac:dyDescent="0.2">
      <c r="A171" s="21"/>
      <c r="B171" s="135" t="s">
        <v>404</v>
      </c>
      <c r="C171" s="158" t="s">
        <v>405</v>
      </c>
      <c r="D171" s="159">
        <v>0</v>
      </c>
      <c r="E171" s="398">
        <v>12.5</v>
      </c>
      <c r="F171" s="160">
        <v>10</v>
      </c>
      <c r="G171" s="398">
        <v>7.5</v>
      </c>
      <c r="H171" s="28" t="s">
        <v>716</v>
      </c>
      <c r="I171" t="s">
        <v>348</v>
      </c>
      <c r="J171" s="46">
        <v>2</v>
      </c>
      <c r="K171" t="s">
        <v>306</v>
      </c>
      <c r="L171" s="134" t="s">
        <v>716</v>
      </c>
      <c r="M171" t="s">
        <v>308</v>
      </c>
      <c r="N171"/>
      <c r="O171" s="134"/>
      <c r="P171"/>
      <c r="Q171"/>
      <c r="R171" s="134"/>
      <c r="S171"/>
      <c r="T171"/>
      <c r="U171"/>
      <c r="V171"/>
    </row>
    <row r="172" spans="1:22" x14ac:dyDescent="0.2">
      <c r="A172" s="28"/>
      <c r="B172" s="135" t="s">
        <v>407</v>
      </c>
      <c r="C172" s="158" t="s">
        <v>87</v>
      </c>
      <c r="D172" s="159">
        <v>0</v>
      </c>
      <c r="E172" s="160">
        <v>6</v>
      </c>
      <c r="F172" s="160">
        <v>5</v>
      </c>
      <c r="G172" s="160">
        <v>4</v>
      </c>
      <c r="H172" s="28" t="s">
        <v>721</v>
      </c>
      <c r="I172" t="s">
        <v>348</v>
      </c>
      <c r="J172" s="46">
        <v>2</v>
      </c>
      <c r="K172" t="s">
        <v>306</v>
      </c>
      <c r="L172" s="134" t="s">
        <v>716</v>
      </c>
      <c r="M172" t="s">
        <v>308</v>
      </c>
    </row>
    <row r="173" spans="1:22" x14ac:dyDescent="0.2">
      <c r="A173" s="28"/>
      <c r="B173" t="s">
        <v>153</v>
      </c>
      <c r="C173" s="38" t="s">
        <v>77</v>
      </c>
      <c r="D173" s="35"/>
      <c r="E173" s="218"/>
      <c r="F173" s="218"/>
      <c r="G173" s="218"/>
      <c r="I173" t="s">
        <v>326</v>
      </c>
      <c r="J173" s="46" t="s">
        <v>327</v>
      </c>
      <c r="T173" s="29"/>
      <c r="U173" s="29"/>
      <c r="V173" s="29"/>
    </row>
    <row r="174" spans="1:22" x14ac:dyDescent="0.2">
      <c r="A174" s="28"/>
    </row>
    <row r="175" spans="1:22" x14ac:dyDescent="0.2">
      <c r="A175" s="28"/>
    </row>
    <row r="176" spans="1:22" ht="17" x14ac:dyDescent="0.2">
      <c r="A176" s="28"/>
      <c r="B176" s="105" t="s">
        <v>4</v>
      </c>
      <c r="C176" s="97"/>
      <c r="D176" s="97"/>
      <c r="E176" s="97"/>
      <c r="F176" s="97"/>
      <c r="G176" s="97"/>
      <c r="H176" s="97"/>
      <c r="I176" s="97"/>
      <c r="J176" s="276"/>
      <c r="K176" s="97"/>
      <c r="L176" s="140"/>
      <c r="M176" s="97"/>
      <c r="N176" s="97"/>
      <c r="O176" s="140"/>
      <c r="P176" s="97"/>
      <c r="Q176" s="97"/>
      <c r="R176" s="140"/>
      <c r="S176" s="97"/>
      <c r="T176" s="97"/>
      <c r="U176" s="97"/>
      <c r="V176" s="97"/>
    </row>
    <row r="177" spans="1:22" x14ac:dyDescent="0.2">
      <c r="A177" s="28"/>
      <c r="B177" s="128"/>
      <c r="F177" s="28"/>
    </row>
    <row r="178" spans="1:22" x14ac:dyDescent="0.2">
      <c r="A178" s="28"/>
      <c r="B178" s="40" t="s">
        <v>620</v>
      </c>
      <c r="C178" s="31" t="s">
        <v>248</v>
      </c>
      <c r="D178" s="31" t="s">
        <v>63</v>
      </c>
      <c r="E178" s="31" t="s">
        <v>52</v>
      </c>
      <c r="F178" s="31" t="s">
        <v>54</v>
      </c>
      <c r="G178" s="31" t="s">
        <v>51</v>
      </c>
      <c r="H178" s="41" t="s">
        <v>244</v>
      </c>
      <c r="I178" s="41" t="s">
        <v>270</v>
      </c>
      <c r="J178" s="42" t="s">
        <v>271</v>
      </c>
      <c r="K178" s="41" t="s">
        <v>235</v>
      </c>
      <c r="L178" s="42" t="s">
        <v>236</v>
      </c>
      <c r="M178" s="41" t="s">
        <v>237</v>
      </c>
      <c r="N178" s="41" t="s">
        <v>238</v>
      </c>
      <c r="O178" s="42" t="s">
        <v>239</v>
      </c>
      <c r="P178" s="41" t="s">
        <v>240</v>
      </c>
      <c r="Q178" s="41" t="s">
        <v>241</v>
      </c>
      <c r="R178" s="42" t="s">
        <v>242</v>
      </c>
      <c r="S178" s="43" t="s">
        <v>243</v>
      </c>
      <c r="T178" s="130" t="s">
        <v>245</v>
      </c>
      <c r="U178" s="130" t="s">
        <v>272</v>
      </c>
      <c r="V178" s="130" t="s">
        <v>247</v>
      </c>
    </row>
    <row r="179" spans="1:22" s="48" customFormat="1" x14ac:dyDescent="0.2">
      <c r="A179" s="28"/>
      <c r="B179" s="18" t="s">
        <v>63</v>
      </c>
      <c r="C179" s="18" t="s">
        <v>57</v>
      </c>
      <c r="D179" s="44">
        <v>0</v>
      </c>
      <c r="E179" s="15">
        <v>0</v>
      </c>
      <c r="F179" s="15">
        <v>0</v>
      </c>
      <c r="G179" s="15">
        <v>0</v>
      </c>
      <c r="H179"/>
      <c r="I179" t="s">
        <v>327</v>
      </c>
      <c r="J179" s="46" t="s">
        <v>327</v>
      </c>
      <c r="K179"/>
      <c r="L179" s="134"/>
      <c r="M179"/>
      <c r="N179"/>
      <c r="O179" s="134"/>
      <c r="P179"/>
      <c r="Q179"/>
      <c r="R179" s="134"/>
      <c r="S179"/>
      <c r="T179"/>
      <c r="U179"/>
      <c r="V179"/>
    </row>
    <row r="180" spans="1:22" x14ac:dyDescent="0.2">
      <c r="B180" s="18" t="s">
        <v>98</v>
      </c>
      <c r="C180" s="18" t="s">
        <v>57</v>
      </c>
      <c r="D180" s="44">
        <v>0</v>
      </c>
      <c r="E180" s="15">
        <f>1.25*F180</f>
        <v>396.25</v>
      </c>
      <c r="F180" s="15">
        <v>317</v>
      </c>
      <c r="G180" s="15">
        <f>0.75*F180</f>
        <v>237.75</v>
      </c>
      <c r="H180" s="29" t="s">
        <v>618</v>
      </c>
      <c r="I180" s="29" t="s">
        <v>275</v>
      </c>
      <c r="J180" s="166">
        <v>2</v>
      </c>
      <c r="K180" t="s">
        <v>302</v>
      </c>
      <c r="L180" s="134" t="s">
        <v>625</v>
      </c>
      <c r="M180" t="s">
        <v>335</v>
      </c>
    </row>
    <row r="181" spans="1:22" x14ac:dyDescent="0.2">
      <c r="B181" s="18" t="s">
        <v>410</v>
      </c>
      <c r="C181" s="18" t="s">
        <v>57</v>
      </c>
      <c r="D181" s="44">
        <v>0</v>
      </c>
      <c r="E181" s="15">
        <f>1.25*E180</f>
        <v>495.3125</v>
      </c>
      <c r="F181" s="15">
        <f>1.25*F180</f>
        <v>396.25</v>
      </c>
      <c r="G181" s="15">
        <f>1.25*G180</f>
        <v>297.1875</v>
      </c>
      <c r="H181" s="29" t="s">
        <v>718</v>
      </c>
      <c r="I181" s="29" t="s">
        <v>275</v>
      </c>
      <c r="J181" s="166">
        <v>2</v>
      </c>
      <c r="K181" t="s">
        <v>311</v>
      </c>
      <c r="L181" s="134" t="s">
        <v>719</v>
      </c>
      <c r="M181" t="s">
        <v>313</v>
      </c>
    </row>
    <row r="182" spans="1:22" x14ac:dyDescent="0.2">
      <c r="B182" s="18" t="s">
        <v>411</v>
      </c>
      <c r="C182" s="18" t="s">
        <v>57</v>
      </c>
      <c r="D182" s="44">
        <v>0</v>
      </c>
      <c r="E182" s="15">
        <v>175</v>
      </c>
      <c r="F182" s="15">
        <v>150</v>
      </c>
      <c r="G182" s="15">
        <v>125</v>
      </c>
      <c r="H182" s="29" t="s">
        <v>618</v>
      </c>
      <c r="I182" s="29" t="s">
        <v>348</v>
      </c>
      <c r="J182" s="166">
        <v>2</v>
      </c>
      <c r="K182" t="s">
        <v>321</v>
      </c>
      <c r="L182" s="134" t="s">
        <v>575</v>
      </c>
      <c r="M182" t="s">
        <v>308</v>
      </c>
    </row>
    <row r="183" spans="1:22" x14ac:dyDescent="0.2">
      <c r="B183" s="18" t="s">
        <v>412</v>
      </c>
      <c r="C183" s="18" t="s">
        <v>57</v>
      </c>
      <c r="D183" s="44">
        <v>0</v>
      </c>
      <c r="E183" s="15">
        <v>125</v>
      </c>
      <c r="F183" s="15">
        <v>110</v>
      </c>
      <c r="G183" s="15">
        <v>100</v>
      </c>
      <c r="H183" s="29" t="s">
        <v>618</v>
      </c>
      <c r="I183" s="29" t="s">
        <v>275</v>
      </c>
      <c r="J183" s="166">
        <v>2</v>
      </c>
      <c r="K183" t="s">
        <v>311</v>
      </c>
      <c r="L183" s="134" t="s">
        <v>630</v>
      </c>
      <c r="M183" t="s">
        <v>313</v>
      </c>
    </row>
    <row r="184" spans="1:22" x14ac:dyDescent="0.2">
      <c r="B184" s="18" t="s">
        <v>717</v>
      </c>
      <c r="C184" s="18" t="s">
        <v>57</v>
      </c>
      <c r="D184" s="44">
        <v>0</v>
      </c>
      <c r="E184" s="15">
        <v>125</v>
      </c>
      <c r="F184" s="15">
        <v>110</v>
      </c>
      <c r="G184" s="15">
        <v>100</v>
      </c>
      <c r="H184" s="29" t="s">
        <v>618</v>
      </c>
      <c r="I184" s="29" t="s">
        <v>275</v>
      </c>
      <c r="J184" s="166">
        <v>2</v>
      </c>
      <c r="K184" t="s">
        <v>311</v>
      </c>
      <c r="L184" s="134" t="s">
        <v>630</v>
      </c>
      <c r="M184" t="s">
        <v>313</v>
      </c>
    </row>
    <row r="185" spans="1:22" s="29" customFormat="1" x14ac:dyDescent="0.2">
      <c r="A185"/>
      <c r="B185" s="18" t="s">
        <v>413</v>
      </c>
      <c r="C185" s="18" t="s">
        <v>57</v>
      </c>
      <c r="D185" s="44">
        <v>0</v>
      </c>
      <c r="E185" s="15">
        <v>95</v>
      </c>
      <c r="F185" s="15">
        <v>85</v>
      </c>
      <c r="G185" s="15">
        <v>75</v>
      </c>
      <c r="H185" s="29" t="s">
        <v>618</v>
      </c>
      <c r="I185" s="29" t="s">
        <v>275</v>
      </c>
      <c r="J185" s="166">
        <v>2</v>
      </c>
      <c r="K185" t="s">
        <v>311</v>
      </c>
      <c r="L185" s="134" t="s">
        <v>631</v>
      </c>
      <c r="M185" t="s">
        <v>313</v>
      </c>
      <c r="N185"/>
      <c r="O185" s="134"/>
      <c r="P185"/>
      <c r="Q185"/>
      <c r="R185" s="134"/>
      <c r="S185"/>
    </row>
    <row r="186" spans="1:22" x14ac:dyDescent="0.2">
      <c r="B186" s="18" t="s">
        <v>414</v>
      </c>
      <c r="C186" s="18" t="s">
        <v>57</v>
      </c>
      <c r="D186" s="44">
        <v>0</v>
      </c>
      <c r="E186" s="15"/>
      <c r="F186" s="15"/>
      <c r="G186" s="15"/>
      <c r="J186" s="46"/>
    </row>
    <row r="187" spans="1:22" x14ac:dyDescent="0.2">
      <c r="B187" s="18" t="s">
        <v>415</v>
      </c>
      <c r="C187" s="18" t="s">
        <v>57</v>
      </c>
      <c r="D187" s="44">
        <v>0</v>
      </c>
      <c r="E187" s="15"/>
      <c r="F187" s="15"/>
      <c r="G187" s="15"/>
      <c r="J187" s="46"/>
    </row>
    <row r="189" spans="1:22" x14ac:dyDescent="0.2">
      <c r="B189" s="363" t="s">
        <v>619</v>
      </c>
      <c r="C189" s="364" t="s">
        <v>248</v>
      </c>
      <c r="D189" s="364" t="s">
        <v>63</v>
      </c>
      <c r="E189" s="364" t="s">
        <v>52</v>
      </c>
      <c r="F189" s="364" t="s">
        <v>54</v>
      </c>
      <c r="G189" s="364" t="s">
        <v>51</v>
      </c>
      <c r="H189" s="365" t="s">
        <v>244</v>
      </c>
      <c r="I189" s="365" t="s">
        <v>270</v>
      </c>
      <c r="J189" s="366" t="s">
        <v>271</v>
      </c>
      <c r="K189" s="365" t="s">
        <v>235</v>
      </c>
      <c r="L189" s="366" t="s">
        <v>236</v>
      </c>
      <c r="M189" s="365" t="s">
        <v>237</v>
      </c>
      <c r="N189" s="365" t="s">
        <v>238</v>
      </c>
      <c r="O189" s="366" t="s">
        <v>239</v>
      </c>
      <c r="P189" s="365" t="s">
        <v>240</v>
      </c>
      <c r="Q189" s="365" t="s">
        <v>241</v>
      </c>
      <c r="R189" s="366" t="s">
        <v>242</v>
      </c>
      <c r="S189" s="367" t="s">
        <v>243</v>
      </c>
      <c r="T189" s="130" t="s">
        <v>245</v>
      </c>
      <c r="U189" s="130" t="s">
        <v>272</v>
      </c>
      <c r="V189" s="130" t="s">
        <v>247</v>
      </c>
    </row>
    <row r="190" spans="1:22" s="48" customFormat="1" x14ac:dyDescent="0.2">
      <c r="A190"/>
      <c r="B190" s="29" t="str">
        <f t="shared" ref="B190:B198" si="6">B179</f>
        <v>Geen</v>
      </c>
      <c r="C190" s="29" t="s">
        <v>55</v>
      </c>
      <c r="D190" s="3">
        <v>0</v>
      </c>
      <c r="E190" s="36">
        <v>0</v>
      </c>
      <c r="F190" s="36">
        <v>0</v>
      </c>
      <c r="G190" s="36">
        <v>0</v>
      </c>
      <c r="H190"/>
      <c r="I190" t="s">
        <v>327</v>
      </c>
      <c r="J190" s="166" t="s">
        <v>327</v>
      </c>
      <c r="K190"/>
      <c r="L190" s="134"/>
      <c r="M190"/>
      <c r="N190"/>
      <c r="O190" s="134"/>
      <c r="P190"/>
      <c r="Q190"/>
      <c r="R190" s="134"/>
      <c r="S190"/>
      <c r="T190"/>
      <c r="U190"/>
      <c r="V190"/>
    </row>
    <row r="191" spans="1:22" x14ac:dyDescent="0.2">
      <c r="B191" s="29" t="str">
        <f t="shared" si="6"/>
        <v>Veldhakselaar standaard</v>
      </c>
      <c r="C191" s="29" t="s">
        <v>55</v>
      </c>
      <c r="D191" s="3">
        <v>0</v>
      </c>
      <c r="E191" s="397">
        <v>1</v>
      </c>
      <c r="F191" s="397">
        <v>0.83</v>
      </c>
      <c r="G191" s="397">
        <v>0.75</v>
      </c>
      <c r="H191" s="21"/>
      <c r="I191" s="29" t="s">
        <v>275</v>
      </c>
      <c r="J191" s="166">
        <v>2</v>
      </c>
      <c r="K191" t="s">
        <v>302</v>
      </c>
      <c r="L191" s="134" t="s">
        <v>617</v>
      </c>
      <c r="M191" t="s">
        <v>335</v>
      </c>
    </row>
    <row r="192" spans="1:22" x14ac:dyDescent="0.2">
      <c r="B192" s="29" t="str">
        <f t="shared" si="6"/>
        <v xml:space="preserve">Veldhakselaar wetland </v>
      </c>
      <c r="C192" s="29" t="s">
        <v>55</v>
      </c>
      <c r="D192" s="3">
        <v>0</v>
      </c>
      <c r="E192" s="397">
        <v>1</v>
      </c>
      <c r="F192" s="397">
        <v>0.83</v>
      </c>
      <c r="G192" s="397">
        <v>0.75</v>
      </c>
      <c r="H192" s="28" t="s">
        <v>632</v>
      </c>
      <c r="I192" s="29" t="s">
        <v>275</v>
      </c>
      <c r="J192" s="166">
        <v>2</v>
      </c>
      <c r="K192" t="s">
        <v>311</v>
      </c>
      <c r="L192" s="134" t="s">
        <v>633</v>
      </c>
      <c r="M192" t="s">
        <v>313</v>
      </c>
    </row>
    <row r="193" spans="1:22" x14ac:dyDescent="0.2">
      <c r="B193" s="29" t="str">
        <f t="shared" si="6"/>
        <v xml:space="preserve">Klepelbak wetland </v>
      </c>
      <c r="C193" s="29" t="s">
        <v>55</v>
      </c>
      <c r="D193" s="3">
        <v>0</v>
      </c>
      <c r="E193" s="36">
        <v>5</v>
      </c>
      <c r="F193" s="36">
        <v>4</v>
      </c>
      <c r="G193" s="36">
        <v>3</v>
      </c>
      <c r="H193" s="28"/>
      <c r="I193" s="29" t="s">
        <v>348</v>
      </c>
      <c r="J193" s="166">
        <v>2</v>
      </c>
      <c r="K193" t="s">
        <v>321</v>
      </c>
      <c r="L193" s="134" t="s">
        <v>616</v>
      </c>
      <c r="M193" t="s">
        <v>308</v>
      </c>
    </row>
    <row r="194" spans="1:22" x14ac:dyDescent="0.2">
      <c r="B194" s="29" t="str">
        <f t="shared" si="6"/>
        <v xml:space="preserve">Maai-zuigcombinatie wetland </v>
      </c>
      <c r="C194" s="29" t="s">
        <v>55</v>
      </c>
      <c r="D194" s="3">
        <v>0</v>
      </c>
      <c r="E194" s="307">
        <v>5</v>
      </c>
      <c r="F194" s="307">
        <v>4</v>
      </c>
      <c r="G194" s="307">
        <v>3</v>
      </c>
      <c r="H194" s="28" t="s">
        <v>634</v>
      </c>
      <c r="I194" s="29" t="s">
        <v>275</v>
      </c>
      <c r="J194" s="166">
        <v>2</v>
      </c>
      <c r="K194" t="s">
        <v>311</v>
      </c>
      <c r="L194" s="134" t="s">
        <v>634</v>
      </c>
      <c r="M194" t="s">
        <v>313</v>
      </c>
    </row>
    <row r="195" spans="1:22" x14ac:dyDescent="0.2">
      <c r="B195" s="29" t="str">
        <f t="shared" si="6"/>
        <v>Riet oogstmachine (op rupsbanden)</v>
      </c>
      <c r="C195" s="29" t="s">
        <v>55</v>
      </c>
      <c r="D195" s="3">
        <v>0</v>
      </c>
      <c r="E195" s="307">
        <v>5</v>
      </c>
      <c r="F195" s="307">
        <v>4</v>
      </c>
      <c r="G195" s="307">
        <v>3</v>
      </c>
      <c r="H195" s="28" t="s">
        <v>634</v>
      </c>
      <c r="I195" s="29" t="s">
        <v>275</v>
      </c>
      <c r="J195" s="166">
        <v>2</v>
      </c>
      <c r="K195" t="s">
        <v>311</v>
      </c>
      <c r="L195" s="134" t="s">
        <v>634</v>
      </c>
      <c r="M195" t="s">
        <v>313</v>
      </c>
    </row>
    <row r="196" spans="1:22" s="29" customFormat="1" x14ac:dyDescent="0.2">
      <c r="A196"/>
      <c r="B196" s="29" t="str">
        <f t="shared" si="6"/>
        <v>Maai-korfcombinatie</v>
      </c>
      <c r="C196" s="29" t="s">
        <v>55</v>
      </c>
      <c r="D196" s="3">
        <v>0</v>
      </c>
      <c r="E196" s="307">
        <v>6</v>
      </c>
      <c r="F196" s="307">
        <v>5</v>
      </c>
      <c r="G196" s="307">
        <v>4</v>
      </c>
      <c r="H196" s="28" t="s">
        <v>635</v>
      </c>
      <c r="I196" s="29" t="s">
        <v>275</v>
      </c>
      <c r="J196" s="166">
        <v>2</v>
      </c>
      <c r="K196" t="s">
        <v>311</v>
      </c>
      <c r="L196" s="134" t="s">
        <v>635</v>
      </c>
      <c r="M196" t="s">
        <v>313</v>
      </c>
      <c r="N196"/>
      <c r="O196" s="134"/>
      <c r="P196"/>
      <c r="Q196"/>
      <c r="R196" s="134"/>
      <c r="S196"/>
    </row>
    <row r="197" spans="1:22" x14ac:dyDescent="0.2">
      <c r="B197" s="29" t="str">
        <f t="shared" si="6"/>
        <v>Alternatief 1</v>
      </c>
      <c r="C197" s="29" t="s">
        <v>55</v>
      </c>
      <c r="D197" s="3">
        <v>0</v>
      </c>
      <c r="E197" s="36"/>
      <c r="F197" s="36"/>
      <c r="G197" s="36"/>
      <c r="J197" s="166"/>
    </row>
    <row r="198" spans="1:22" s="48" customFormat="1" x14ac:dyDescent="0.2">
      <c r="A198"/>
      <c r="B198" s="29" t="str">
        <f t="shared" si="6"/>
        <v>Alternatief 2</v>
      </c>
      <c r="C198" s="29" t="s">
        <v>55</v>
      </c>
      <c r="D198" s="3">
        <v>0</v>
      </c>
      <c r="E198" s="36"/>
      <c r="F198" s="36"/>
      <c r="G198" s="36"/>
      <c r="H198"/>
      <c r="I198"/>
      <c r="J198" s="166"/>
      <c r="K198"/>
      <c r="L198" s="134"/>
      <c r="M198"/>
      <c r="N198"/>
      <c r="O198" s="134"/>
      <c r="P198"/>
      <c r="Q198"/>
      <c r="R198" s="134"/>
      <c r="S198"/>
      <c r="T198"/>
      <c r="U198"/>
      <c r="V198"/>
    </row>
    <row r="199" spans="1:22" x14ac:dyDescent="0.2">
      <c r="J199" s="99"/>
    </row>
    <row r="200" spans="1:22" x14ac:dyDescent="0.2">
      <c r="B200" s="40" t="s">
        <v>621</v>
      </c>
      <c r="C200" s="31" t="s">
        <v>248</v>
      </c>
      <c r="D200" s="31" t="s">
        <v>63</v>
      </c>
      <c r="E200" s="31" t="s">
        <v>52</v>
      </c>
      <c r="F200" s="31" t="s">
        <v>54</v>
      </c>
      <c r="G200" s="31" t="s">
        <v>51</v>
      </c>
      <c r="H200" s="41" t="s">
        <v>244</v>
      </c>
      <c r="I200" s="41" t="s">
        <v>270</v>
      </c>
      <c r="J200" s="42" t="s">
        <v>271</v>
      </c>
      <c r="K200" s="41" t="s">
        <v>235</v>
      </c>
      <c r="L200" s="42" t="s">
        <v>236</v>
      </c>
      <c r="M200" s="41" t="s">
        <v>237</v>
      </c>
      <c r="N200" s="41" t="s">
        <v>238</v>
      </c>
      <c r="O200" s="42" t="s">
        <v>239</v>
      </c>
      <c r="P200" s="41" t="s">
        <v>240</v>
      </c>
      <c r="Q200" s="41" t="s">
        <v>241</v>
      </c>
      <c r="R200" s="42" t="s">
        <v>242</v>
      </c>
      <c r="S200" s="43" t="s">
        <v>243</v>
      </c>
      <c r="T200" s="130" t="s">
        <v>245</v>
      </c>
      <c r="U200" s="130" t="s">
        <v>272</v>
      </c>
      <c r="V200" s="130" t="s">
        <v>247</v>
      </c>
    </row>
    <row r="201" spans="1:22" x14ac:dyDescent="0.2">
      <c r="B201" s="18" t="s">
        <v>416</v>
      </c>
      <c r="C201" s="18" t="s">
        <v>57</v>
      </c>
      <c r="D201" s="15">
        <v>0</v>
      </c>
      <c r="E201" s="15">
        <v>45</v>
      </c>
      <c r="F201" s="15">
        <v>35</v>
      </c>
      <c r="G201" s="15">
        <v>25</v>
      </c>
      <c r="H201" s="29" t="s">
        <v>618</v>
      </c>
      <c r="I201" s="29" t="s">
        <v>275</v>
      </c>
      <c r="J201" s="46">
        <v>2</v>
      </c>
      <c r="K201" s="28" t="s">
        <v>311</v>
      </c>
      <c r="L201" s="134" t="s">
        <v>636</v>
      </c>
      <c r="M201" t="s">
        <v>313</v>
      </c>
    </row>
    <row r="202" spans="1:22" x14ac:dyDescent="0.2">
      <c r="B202" s="18" t="s">
        <v>417</v>
      </c>
      <c r="C202" s="18" t="s">
        <v>57</v>
      </c>
      <c r="D202" s="15">
        <v>0</v>
      </c>
      <c r="E202" s="15">
        <v>25</v>
      </c>
      <c r="F202" s="15">
        <v>10</v>
      </c>
      <c r="G202" s="15">
        <v>5</v>
      </c>
      <c r="H202" s="29" t="s">
        <v>618</v>
      </c>
      <c r="I202" s="29" t="s">
        <v>275</v>
      </c>
      <c r="J202" s="46">
        <v>2</v>
      </c>
      <c r="K202" s="28" t="s">
        <v>311</v>
      </c>
      <c r="L202" s="157" t="s">
        <v>637</v>
      </c>
      <c r="M202" t="s">
        <v>313</v>
      </c>
    </row>
    <row r="203" spans="1:22" x14ac:dyDescent="0.2">
      <c r="B203" s="18" t="s">
        <v>418</v>
      </c>
      <c r="C203" s="18" t="s">
        <v>57</v>
      </c>
      <c r="D203" s="15">
        <v>0</v>
      </c>
      <c r="E203" s="15">
        <v>45</v>
      </c>
      <c r="F203" s="15">
        <v>35</v>
      </c>
      <c r="G203" s="15">
        <v>25</v>
      </c>
      <c r="H203" s="29" t="s">
        <v>618</v>
      </c>
      <c r="I203" s="29" t="s">
        <v>275</v>
      </c>
      <c r="J203" s="46">
        <v>2</v>
      </c>
      <c r="K203" s="28" t="s">
        <v>311</v>
      </c>
      <c r="L203" s="134" t="s">
        <v>636</v>
      </c>
      <c r="M203" t="s">
        <v>313</v>
      </c>
    </row>
    <row r="204" spans="1:22" s="48" customFormat="1" x14ac:dyDescent="0.2">
      <c r="A204"/>
      <c r="B204" s="21" t="s">
        <v>47</v>
      </c>
      <c r="C204" s="21"/>
      <c r="D204" s="22">
        <f>SUBTOTAL(109,HarvestCost11[Geen])</f>
        <v>0</v>
      </c>
      <c r="E204" s="22">
        <f>SUBTOTAL(109,HarvestCost11[Waarde MAX])</f>
        <v>115</v>
      </c>
      <c r="F204" s="22">
        <f>SUBTOTAL(109,HarvestCost11[Waarde GEM])</f>
        <v>80</v>
      </c>
      <c r="G204" s="22">
        <f>SUBTOTAL(109,HarvestCost11[Waarde MIN])</f>
        <v>55</v>
      </c>
      <c r="H204"/>
      <c r="I204"/>
      <c r="J204" s="47"/>
      <c r="K204"/>
      <c r="L204" s="134"/>
      <c r="M204"/>
      <c r="N204"/>
      <c r="O204" s="134"/>
      <c r="P204"/>
      <c r="Q204"/>
      <c r="R204" s="134"/>
      <c r="S204"/>
      <c r="T204"/>
      <c r="U204"/>
      <c r="V204"/>
    </row>
    <row r="205" spans="1:22" x14ac:dyDescent="0.2">
      <c r="B205" s="128"/>
    </row>
    <row r="206" spans="1:22" x14ac:dyDescent="0.2">
      <c r="B206" s="40" t="s">
        <v>622</v>
      </c>
      <c r="C206" s="31" t="s">
        <v>248</v>
      </c>
      <c r="D206" s="31" t="s">
        <v>63</v>
      </c>
      <c r="E206" s="31" t="s">
        <v>52</v>
      </c>
      <c r="F206" s="31" t="s">
        <v>54</v>
      </c>
      <c r="G206" s="31" t="s">
        <v>51</v>
      </c>
      <c r="H206" s="41" t="s">
        <v>244</v>
      </c>
      <c r="I206" s="41" t="s">
        <v>270</v>
      </c>
      <c r="J206" s="42" t="s">
        <v>271</v>
      </c>
      <c r="K206" s="41" t="s">
        <v>235</v>
      </c>
      <c r="L206" s="42" t="s">
        <v>236</v>
      </c>
      <c r="M206" s="41" t="s">
        <v>237</v>
      </c>
      <c r="N206" s="41" t="s">
        <v>238</v>
      </c>
      <c r="O206" s="42" t="s">
        <v>239</v>
      </c>
      <c r="P206" s="41" t="s">
        <v>240</v>
      </c>
      <c r="Q206" s="41" t="s">
        <v>241</v>
      </c>
      <c r="R206" s="42" t="s">
        <v>242</v>
      </c>
      <c r="S206" s="43" t="s">
        <v>243</v>
      </c>
      <c r="T206" s="130" t="s">
        <v>245</v>
      </c>
      <c r="U206" s="130" t="s">
        <v>272</v>
      </c>
      <c r="V206" s="130" t="s">
        <v>247</v>
      </c>
    </row>
    <row r="207" spans="1:22" x14ac:dyDescent="0.2">
      <c r="B207" s="29" t="s">
        <v>63</v>
      </c>
      <c r="C207" s="18" t="s">
        <v>57</v>
      </c>
      <c r="D207" s="44">
        <v>0</v>
      </c>
      <c r="E207" s="36">
        <v>0</v>
      </c>
      <c r="F207" s="36">
        <v>0</v>
      </c>
      <c r="G207" s="36">
        <v>0</v>
      </c>
      <c r="I207" t="s">
        <v>327</v>
      </c>
      <c r="J207" s="46" t="s">
        <v>327</v>
      </c>
    </row>
    <row r="208" spans="1:22" x14ac:dyDescent="0.2">
      <c r="B208" s="29" t="s">
        <v>419</v>
      </c>
      <c r="C208" s="18" t="s">
        <v>57</v>
      </c>
      <c r="D208" s="44">
        <v>0</v>
      </c>
      <c r="E208" s="307">
        <v>185</v>
      </c>
      <c r="F208" s="307">
        <v>175</v>
      </c>
      <c r="G208" s="307">
        <v>165</v>
      </c>
      <c r="H208" s="29" t="s">
        <v>618</v>
      </c>
      <c r="I208" s="29" t="s">
        <v>275</v>
      </c>
      <c r="J208" s="46">
        <v>2</v>
      </c>
      <c r="K208" s="28" t="s">
        <v>311</v>
      </c>
      <c r="L208" s="134" t="s">
        <v>638</v>
      </c>
      <c r="M208" t="s">
        <v>313</v>
      </c>
    </row>
    <row r="209" spans="1:22" x14ac:dyDescent="0.2">
      <c r="B209" s="29" t="str">
        <f>B185</f>
        <v>Maai-korfcombinatie</v>
      </c>
      <c r="C209" s="18" t="s">
        <v>57</v>
      </c>
      <c r="D209" s="44">
        <v>0</v>
      </c>
      <c r="E209" s="307">
        <f>E185</f>
        <v>95</v>
      </c>
      <c r="F209" s="307">
        <f t="shared" ref="F209:G209" si="7">F185</f>
        <v>85</v>
      </c>
      <c r="G209" s="307">
        <f t="shared" si="7"/>
        <v>75</v>
      </c>
      <c r="H209" s="29" t="str">
        <f>H184</f>
        <v>Machine &amp; arbeid per uur</v>
      </c>
      <c r="I209" s="29" t="str">
        <f>I185</f>
        <v>Enige aanname</v>
      </c>
      <c r="J209" s="46">
        <f>J185</f>
        <v>2</v>
      </c>
      <c r="K209" t="str">
        <f>K185</f>
        <v>Van de Crommert Projects &amp; Innovations, 2021</v>
      </c>
      <c r="L209" s="152" t="str">
        <f>L185</f>
        <v>95/85/75</v>
      </c>
      <c r="M209" t="str">
        <f>M185</f>
        <v>Expert - Interview</v>
      </c>
    </row>
    <row r="210" spans="1:22" x14ac:dyDescent="0.2">
      <c r="B210" s="29" t="s">
        <v>119</v>
      </c>
      <c r="C210" s="18" t="s">
        <v>57</v>
      </c>
      <c r="D210" s="44">
        <v>0</v>
      </c>
      <c r="E210" s="307">
        <v>95</v>
      </c>
      <c r="F210" s="307">
        <v>85</v>
      </c>
      <c r="G210" s="307">
        <v>75</v>
      </c>
      <c r="H210" s="29" t="s">
        <v>618</v>
      </c>
      <c r="I210" s="29" t="s">
        <v>275</v>
      </c>
      <c r="J210" s="46">
        <v>2</v>
      </c>
      <c r="K210" s="28" t="s">
        <v>311</v>
      </c>
      <c r="L210" s="134" t="s">
        <v>631</v>
      </c>
      <c r="M210" t="s">
        <v>313</v>
      </c>
      <c r="T210" s="29"/>
      <c r="U210" s="29"/>
      <c r="V210" s="29"/>
    </row>
    <row r="211" spans="1:22" s="48" customFormat="1" x14ac:dyDescent="0.2">
      <c r="A211"/>
      <c r="B211" s="29" t="s">
        <v>414</v>
      </c>
      <c r="C211" s="18" t="s">
        <v>57</v>
      </c>
      <c r="D211" s="44">
        <v>0</v>
      </c>
      <c r="E211" s="36">
        <v>0</v>
      </c>
      <c r="F211" s="36">
        <v>0</v>
      </c>
      <c r="G211" s="36">
        <v>0</v>
      </c>
      <c r="H211"/>
      <c r="I211"/>
      <c r="J211" s="46"/>
      <c r="K211"/>
      <c r="L211" s="134"/>
      <c r="M211"/>
      <c r="N211"/>
      <c r="O211" s="134"/>
      <c r="P211"/>
      <c r="Q211"/>
      <c r="R211" s="134"/>
      <c r="S211"/>
      <c r="T211"/>
      <c r="U211"/>
      <c r="V211"/>
    </row>
    <row r="212" spans="1:22" s="48" customFormat="1" x14ac:dyDescent="0.2">
      <c r="A212"/>
      <c r="B212" s="29" t="s">
        <v>415</v>
      </c>
      <c r="C212" s="18" t="s">
        <v>57</v>
      </c>
      <c r="D212" s="44">
        <v>0</v>
      </c>
      <c r="E212" s="36">
        <v>0</v>
      </c>
      <c r="F212" s="36">
        <v>0</v>
      </c>
      <c r="G212" s="36">
        <v>0</v>
      </c>
      <c r="H212"/>
      <c r="I212"/>
      <c r="J212" s="46"/>
      <c r="K212"/>
      <c r="L212" s="134"/>
      <c r="M212"/>
      <c r="N212"/>
      <c r="O212" s="134"/>
      <c r="P212"/>
      <c r="Q212"/>
      <c r="R212" s="134"/>
      <c r="S212"/>
      <c r="T212"/>
      <c r="U212"/>
      <c r="V212"/>
    </row>
    <row r="214" spans="1:22" x14ac:dyDescent="0.2">
      <c r="B214" s="363" t="s">
        <v>623</v>
      </c>
      <c r="C214" s="364" t="s">
        <v>248</v>
      </c>
      <c r="D214" s="364" t="s">
        <v>63</v>
      </c>
      <c r="E214" s="364" t="s">
        <v>52</v>
      </c>
      <c r="F214" s="364" t="s">
        <v>54</v>
      </c>
      <c r="G214" s="364" t="s">
        <v>51</v>
      </c>
      <c r="H214" s="365" t="s">
        <v>244</v>
      </c>
      <c r="I214" s="365" t="s">
        <v>270</v>
      </c>
      <c r="J214" s="366" t="s">
        <v>271</v>
      </c>
      <c r="K214" s="365" t="s">
        <v>235</v>
      </c>
      <c r="L214" s="366" t="s">
        <v>236</v>
      </c>
      <c r="M214" s="365" t="s">
        <v>237</v>
      </c>
      <c r="N214" s="365" t="s">
        <v>238</v>
      </c>
      <c r="O214" s="366" t="s">
        <v>239</v>
      </c>
      <c r="P214" s="365" t="s">
        <v>240</v>
      </c>
      <c r="Q214" s="365" t="s">
        <v>241</v>
      </c>
      <c r="R214" s="366" t="s">
        <v>242</v>
      </c>
      <c r="S214" s="367" t="s">
        <v>243</v>
      </c>
      <c r="T214" s="130" t="s">
        <v>245</v>
      </c>
      <c r="U214" s="130" t="s">
        <v>272</v>
      </c>
      <c r="V214" s="130" t="s">
        <v>247</v>
      </c>
    </row>
    <row r="215" spans="1:22" x14ac:dyDescent="0.2">
      <c r="B215" s="29" t="s">
        <v>63</v>
      </c>
      <c r="C215" s="29" t="s">
        <v>55</v>
      </c>
      <c r="D215" s="3">
        <v>0</v>
      </c>
      <c r="E215" s="36">
        <v>0</v>
      </c>
      <c r="F215" s="36">
        <v>0</v>
      </c>
      <c r="G215" s="36">
        <v>0</v>
      </c>
      <c r="I215" t="s">
        <v>327</v>
      </c>
      <c r="J215" s="166" t="s">
        <v>327</v>
      </c>
    </row>
    <row r="216" spans="1:22" x14ac:dyDescent="0.2">
      <c r="B216" s="29" t="s">
        <v>419</v>
      </c>
      <c r="C216" s="29" t="s">
        <v>55</v>
      </c>
      <c r="D216" s="3">
        <v>0</v>
      </c>
      <c r="E216" s="309">
        <v>1</v>
      </c>
      <c r="F216" s="309">
        <v>0.83</v>
      </c>
      <c r="G216" s="309">
        <v>0.75</v>
      </c>
      <c r="H216" s="28" t="s">
        <v>632</v>
      </c>
      <c r="I216" s="29" t="s">
        <v>275</v>
      </c>
      <c r="J216" s="166">
        <v>2</v>
      </c>
      <c r="K216" t="s">
        <v>311</v>
      </c>
      <c r="L216" s="134" t="s">
        <v>633</v>
      </c>
      <c r="M216" t="s">
        <v>313</v>
      </c>
    </row>
    <row r="217" spans="1:22" x14ac:dyDescent="0.2">
      <c r="B217" s="29" t="str">
        <f>B196</f>
        <v>Maai-korfcombinatie</v>
      </c>
      <c r="C217" s="29" t="s">
        <v>55</v>
      </c>
      <c r="D217" s="3">
        <v>0</v>
      </c>
      <c r="E217" s="307">
        <f t="shared" ref="E217:M217" si="8">E196</f>
        <v>6</v>
      </c>
      <c r="F217" s="307">
        <f t="shared" si="8"/>
        <v>5</v>
      </c>
      <c r="G217" s="307">
        <f t="shared" si="8"/>
        <v>4</v>
      </c>
      <c r="H217" s="28" t="str">
        <f t="shared" si="8"/>
        <v>Iets hoger als klepelbak wetland</v>
      </c>
      <c r="I217" s="21" t="str">
        <f t="shared" si="8"/>
        <v>Enige aanname</v>
      </c>
      <c r="J217" s="46">
        <f t="shared" si="8"/>
        <v>2</v>
      </c>
      <c r="K217" s="28" t="str">
        <f t="shared" si="8"/>
        <v>Van de Crommert Projects &amp; Innovations, 2021</v>
      </c>
      <c r="L217" s="134" t="str">
        <f t="shared" si="8"/>
        <v>Iets hoger als klepelbak wetland</v>
      </c>
      <c r="M217" t="str">
        <f t="shared" si="8"/>
        <v>Expert - Interview</v>
      </c>
    </row>
    <row r="218" spans="1:22" x14ac:dyDescent="0.2">
      <c r="B218" s="29" t="s">
        <v>119</v>
      </c>
      <c r="C218" s="29" t="s">
        <v>55</v>
      </c>
      <c r="D218" s="3">
        <v>0</v>
      </c>
      <c r="E218" s="307">
        <v>5</v>
      </c>
      <c r="F218" s="307">
        <v>4</v>
      </c>
      <c r="G218" s="307">
        <v>3</v>
      </c>
      <c r="H218" s="28" t="s">
        <v>634</v>
      </c>
      <c r="I218" s="29" t="s">
        <v>275</v>
      </c>
      <c r="J218" s="166">
        <v>2</v>
      </c>
      <c r="K218" t="s">
        <v>311</v>
      </c>
      <c r="L218" s="134" t="s">
        <v>634</v>
      </c>
      <c r="M218" t="s">
        <v>313</v>
      </c>
      <c r="T218" s="29"/>
      <c r="U218" s="29"/>
      <c r="V218" s="29"/>
    </row>
    <row r="219" spans="1:22" s="48" customFormat="1" x14ac:dyDescent="0.2">
      <c r="A219"/>
      <c r="B219" s="29" t="s">
        <v>414</v>
      </c>
      <c r="C219" s="29" t="s">
        <v>55</v>
      </c>
      <c r="D219" s="3">
        <v>0</v>
      </c>
      <c r="E219" s="36">
        <v>0</v>
      </c>
      <c r="F219" s="36">
        <v>0</v>
      </c>
      <c r="G219" s="36">
        <v>0</v>
      </c>
      <c r="H219"/>
      <c r="I219"/>
      <c r="J219" s="166"/>
      <c r="K219"/>
      <c r="L219" s="134"/>
      <c r="M219"/>
      <c r="N219"/>
      <c r="O219" s="134"/>
      <c r="P219"/>
      <c r="Q219"/>
      <c r="R219" s="134"/>
      <c r="S219"/>
      <c r="T219"/>
      <c r="U219"/>
      <c r="V219"/>
    </row>
    <row r="220" spans="1:22" x14ac:dyDescent="0.2">
      <c r="B220" s="29" t="s">
        <v>415</v>
      </c>
      <c r="C220" s="29" t="s">
        <v>55</v>
      </c>
      <c r="D220" s="3">
        <v>0</v>
      </c>
      <c r="E220" s="36">
        <v>0</v>
      </c>
      <c r="F220" s="36">
        <v>0</v>
      </c>
      <c r="G220" s="36">
        <v>0</v>
      </c>
      <c r="J220" s="166"/>
    </row>
    <row r="221" spans="1:22" x14ac:dyDescent="0.2">
      <c r="J221" s="99"/>
    </row>
    <row r="222" spans="1:22" x14ac:dyDescent="0.2">
      <c r="A222" s="28"/>
      <c r="B222" s="40" t="s">
        <v>624</v>
      </c>
      <c r="C222" s="31" t="s">
        <v>248</v>
      </c>
      <c r="D222" s="31" t="s">
        <v>63</v>
      </c>
      <c r="E222" s="31" t="s">
        <v>52</v>
      </c>
      <c r="F222" s="31" t="s">
        <v>54</v>
      </c>
      <c r="G222" s="31" t="s">
        <v>51</v>
      </c>
      <c r="H222" s="41" t="s">
        <v>244</v>
      </c>
      <c r="I222" s="41" t="s">
        <v>270</v>
      </c>
      <c r="J222" s="42" t="s">
        <v>271</v>
      </c>
      <c r="K222" s="41" t="s">
        <v>235</v>
      </c>
      <c r="L222" s="42" t="s">
        <v>236</v>
      </c>
      <c r="M222" s="41" t="s">
        <v>237</v>
      </c>
      <c r="N222" s="41" t="s">
        <v>238</v>
      </c>
      <c r="O222" s="42" t="s">
        <v>239</v>
      </c>
      <c r="P222" s="41" t="s">
        <v>240</v>
      </c>
      <c r="Q222" s="41" t="s">
        <v>241</v>
      </c>
      <c r="R222" s="144" t="s">
        <v>242</v>
      </c>
      <c r="S222" s="43" t="s">
        <v>243</v>
      </c>
      <c r="T222" s="130" t="s">
        <v>245</v>
      </c>
      <c r="U222" s="130" t="s">
        <v>272</v>
      </c>
      <c r="V222" s="130" t="s">
        <v>247</v>
      </c>
    </row>
    <row r="223" spans="1:22" x14ac:dyDescent="0.2">
      <c r="A223" s="28"/>
      <c r="B223" s="18" t="s">
        <v>416</v>
      </c>
      <c r="C223" s="18" t="s">
        <v>57</v>
      </c>
      <c r="D223" s="15">
        <v>0</v>
      </c>
      <c r="E223" s="15">
        <v>45</v>
      </c>
      <c r="F223" s="15">
        <v>35</v>
      </c>
      <c r="G223" s="15">
        <v>25</v>
      </c>
      <c r="H223" s="29" t="s">
        <v>618</v>
      </c>
      <c r="I223" s="29" t="s">
        <v>275</v>
      </c>
      <c r="J223" s="166">
        <v>2</v>
      </c>
      <c r="K223" t="s">
        <v>311</v>
      </c>
      <c r="L223" s="134" t="s">
        <v>636</v>
      </c>
      <c r="M223" t="s">
        <v>313</v>
      </c>
    </row>
    <row r="224" spans="1:22" x14ac:dyDescent="0.2">
      <c r="A224" s="28"/>
      <c r="B224" s="18" t="s">
        <v>417</v>
      </c>
      <c r="C224" s="18" t="s">
        <v>57</v>
      </c>
      <c r="D224" s="15">
        <v>0</v>
      </c>
      <c r="E224" s="15">
        <v>25</v>
      </c>
      <c r="F224" s="15">
        <v>10</v>
      </c>
      <c r="G224" s="15">
        <v>5</v>
      </c>
      <c r="H224" s="29" t="s">
        <v>618</v>
      </c>
      <c r="I224" s="29" t="s">
        <v>275</v>
      </c>
      <c r="J224" s="166">
        <v>2</v>
      </c>
      <c r="K224" t="s">
        <v>311</v>
      </c>
      <c r="L224" s="157" t="s">
        <v>637</v>
      </c>
      <c r="M224" t="s">
        <v>313</v>
      </c>
    </row>
    <row r="225" spans="1:22" x14ac:dyDescent="0.2">
      <c r="A225" s="28"/>
      <c r="B225" s="18" t="s">
        <v>418</v>
      </c>
      <c r="C225" s="18" t="s">
        <v>57</v>
      </c>
      <c r="D225" s="15">
        <v>0</v>
      </c>
      <c r="E225" s="15">
        <v>45</v>
      </c>
      <c r="F225" s="15">
        <v>35</v>
      </c>
      <c r="G225" s="15">
        <v>25</v>
      </c>
      <c r="H225" s="29" t="s">
        <v>618</v>
      </c>
      <c r="I225" s="29" t="s">
        <v>275</v>
      </c>
      <c r="J225" s="166">
        <v>2</v>
      </c>
      <c r="K225" t="s">
        <v>311</v>
      </c>
      <c r="L225" s="134" t="s">
        <v>636</v>
      </c>
      <c r="M225" t="s">
        <v>313</v>
      </c>
      <c r="T225" s="48"/>
      <c r="U225" s="48"/>
      <c r="V225" s="48"/>
    </row>
    <row r="226" spans="1:22" x14ac:dyDescent="0.2">
      <c r="A226" s="28"/>
      <c r="B226" s="21" t="s">
        <v>47</v>
      </c>
      <c r="C226" s="21"/>
      <c r="D226" s="22">
        <f>SUBTOTAL(109,HarvestCost21[Geen])</f>
        <v>0</v>
      </c>
      <c r="E226" s="22">
        <f>SUBTOTAL(109,HarvestCost21[Waarde MAX])</f>
        <v>115</v>
      </c>
      <c r="F226" s="22">
        <f>SUBTOTAL(109,HarvestCost21[Waarde GEM])</f>
        <v>80</v>
      </c>
      <c r="G226" s="22">
        <f>SUBTOTAL(109,HarvestCost21[Waarde MIN])</f>
        <v>55</v>
      </c>
    </row>
    <row r="227" spans="1:22" x14ac:dyDescent="0.2">
      <c r="A227" s="28"/>
    </row>
    <row r="228" spans="1:22" x14ac:dyDescent="0.2">
      <c r="A228" s="28"/>
    </row>
    <row r="229" spans="1:22" ht="17" x14ac:dyDescent="0.2">
      <c r="A229" s="28"/>
      <c r="B229" s="105" t="s">
        <v>5</v>
      </c>
      <c r="C229" s="97"/>
      <c r="D229" s="97"/>
      <c r="E229" s="97"/>
      <c r="F229" s="97"/>
      <c r="G229" s="97"/>
      <c r="H229" s="97"/>
      <c r="I229" s="97"/>
      <c r="J229" s="276"/>
      <c r="K229" s="97"/>
      <c r="L229" s="140"/>
      <c r="M229" s="97"/>
      <c r="N229" s="97"/>
      <c r="O229" s="140"/>
      <c r="P229" s="97"/>
      <c r="Q229" s="97"/>
      <c r="R229" s="140"/>
      <c r="S229" s="97"/>
      <c r="T229" s="97"/>
      <c r="U229" s="97"/>
      <c r="V229" s="97"/>
    </row>
    <row r="230" spans="1:22" x14ac:dyDescent="0.2">
      <c r="A230" s="28"/>
      <c r="B230" s="1"/>
    </row>
    <row r="231" spans="1:22" x14ac:dyDescent="0.2">
      <c r="A231" s="28"/>
      <c r="B231" s="23" t="s">
        <v>420</v>
      </c>
      <c r="C231" s="25" t="s">
        <v>248</v>
      </c>
      <c r="D231" s="25" t="s">
        <v>63</v>
      </c>
      <c r="E231" s="25" t="s">
        <v>52</v>
      </c>
      <c r="F231" s="25" t="s">
        <v>54</v>
      </c>
      <c r="G231" s="25" t="s">
        <v>51</v>
      </c>
      <c r="H231" s="24" t="s">
        <v>244</v>
      </c>
      <c r="I231" s="24" t="s">
        <v>270</v>
      </c>
      <c r="J231" s="26" t="s">
        <v>271</v>
      </c>
      <c r="K231" s="24" t="s">
        <v>235</v>
      </c>
      <c r="L231" s="26" t="s">
        <v>236</v>
      </c>
      <c r="M231" s="24" t="s">
        <v>237</v>
      </c>
      <c r="N231" s="24" t="s">
        <v>238</v>
      </c>
      <c r="O231" s="26" t="s">
        <v>239</v>
      </c>
      <c r="P231" s="24" t="s">
        <v>240</v>
      </c>
      <c r="Q231" s="24" t="s">
        <v>241</v>
      </c>
      <c r="R231" s="26" t="s">
        <v>242</v>
      </c>
      <c r="S231" s="27" t="s">
        <v>243</v>
      </c>
      <c r="T231" s="129" t="s">
        <v>245</v>
      </c>
      <c r="U231" s="129" t="s">
        <v>272</v>
      </c>
      <c r="V231" s="129" t="s">
        <v>247</v>
      </c>
    </row>
    <row r="232" spans="1:22" x14ac:dyDescent="0.2">
      <c r="A232" s="28"/>
      <c r="B232" s="18" t="s">
        <v>63</v>
      </c>
      <c r="C232" s="18" t="s">
        <v>104</v>
      </c>
      <c r="D232" s="39">
        <v>0</v>
      </c>
      <c r="E232" s="34">
        <v>0</v>
      </c>
      <c r="F232" s="34">
        <v>0</v>
      </c>
      <c r="G232" s="34">
        <v>0</v>
      </c>
      <c r="I232" t="s">
        <v>327</v>
      </c>
      <c r="J232" s="45" t="s">
        <v>327</v>
      </c>
    </row>
    <row r="233" spans="1:22" x14ac:dyDescent="0.2">
      <c r="A233" s="28"/>
      <c r="B233" s="18" t="s">
        <v>421</v>
      </c>
      <c r="C233" s="18" t="s">
        <v>104</v>
      </c>
      <c r="D233" s="39">
        <v>0</v>
      </c>
      <c r="E233" s="15">
        <v>40</v>
      </c>
      <c r="F233" s="15">
        <v>35</v>
      </c>
      <c r="G233" s="15">
        <v>30</v>
      </c>
      <c r="H233" s="28"/>
      <c r="I233" t="s">
        <v>290</v>
      </c>
      <c r="J233" s="45">
        <v>3</v>
      </c>
      <c r="K233" t="s">
        <v>302</v>
      </c>
      <c r="L233" s="145" t="s">
        <v>422</v>
      </c>
      <c r="M233" t="s">
        <v>335</v>
      </c>
      <c r="T233" s="48"/>
      <c r="U233" s="48"/>
      <c r="V233" s="48"/>
    </row>
    <row r="234" spans="1:22" x14ac:dyDescent="0.2">
      <c r="B234" s="18" t="s">
        <v>103</v>
      </c>
      <c r="C234" s="18" t="s">
        <v>104</v>
      </c>
      <c r="D234" s="39">
        <v>0</v>
      </c>
      <c r="E234" s="15">
        <v>103</v>
      </c>
      <c r="F234" s="15">
        <v>83</v>
      </c>
      <c r="G234" s="15">
        <v>63</v>
      </c>
      <c r="H234" s="28" t="s">
        <v>423</v>
      </c>
      <c r="I234" t="s">
        <v>290</v>
      </c>
      <c r="J234" s="45">
        <v>3</v>
      </c>
      <c r="K234" t="s">
        <v>302</v>
      </c>
      <c r="L234" s="141" t="s">
        <v>424</v>
      </c>
      <c r="M234" t="s">
        <v>335</v>
      </c>
    </row>
    <row r="235" spans="1:22" x14ac:dyDescent="0.2">
      <c r="B235" s="18" t="s">
        <v>425</v>
      </c>
      <c r="C235" s="18" t="s">
        <v>104</v>
      </c>
      <c r="D235" s="39">
        <v>0</v>
      </c>
      <c r="E235" s="15">
        <v>25</v>
      </c>
      <c r="F235" s="15">
        <v>20</v>
      </c>
      <c r="G235" s="15">
        <v>15</v>
      </c>
      <c r="H235" s="28"/>
      <c r="I235" s="29" t="s">
        <v>275</v>
      </c>
      <c r="J235" s="166">
        <v>2</v>
      </c>
      <c r="K235" t="s">
        <v>311</v>
      </c>
      <c r="L235" s="164" t="s">
        <v>406</v>
      </c>
      <c r="M235" t="s">
        <v>426</v>
      </c>
    </row>
    <row r="236" spans="1:22" x14ac:dyDescent="0.2">
      <c r="B236" s="29" t="s">
        <v>122</v>
      </c>
      <c r="C236" s="18" t="s">
        <v>104</v>
      </c>
      <c r="D236" s="39">
        <v>0</v>
      </c>
      <c r="E236" s="34">
        <f>(10/3*85)+10*10</f>
        <v>383.33333333333337</v>
      </c>
      <c r="F236" s="34">
        <f>(10/4*85)+10*10</f>
        <v>312.5</v>
      </c>
      <c r="G236" s="34">
        <f>(10/5*85)+10*10</f>
        <v>270</v>
      </c>
      <c r="H236" s="28" t="s">
        <v>427</v>
      </c>
      <c r="I236" s="29" t="s">
        <v>275</v>
      </c>
      <c r="J236" s="166">
        <v>2</v>
      </c>
      <c r="K236" t="s">
        <v>311</v>
      </c>
      <c r="L236" s="134" t="s">
        <v>428</v>
      </c>
      <c r="M236" t="s">
        <v>426</v>
      </c>
    </row>
    <row r="237" spans="1:22" x14ac:dyDescent="0.2">
      <c r="B237" s="21" t="s">
        <v>429</v>
      </c>
      <c r="C237" s="18" t="s">
        <v>104</v>
      </c>
      <c r="D237" s="39">
        <v>0</v>
      </c>
      <c r="E237" s="34">
        <v>0</v>
      </c>
      <c r="F237" s="34">
        <v>0</v>
      </c>
      <c r="G237" s="34">
        <v>0</v>
      </c>
      <c r="H237" s="28" t="s">
        <v>592</v>
      </c>
      <c r="I237" s="29" t="s">
        <v>275</v>
      </c>
      <c r="J237" s="166">
        <v>2</v>
      </c>
      <c r="K237" t="s">
        <v>311</v>
      </c>
      <c r="L237" s="134" t="s">
        <v>593</v>
      </c>
      <c r="M237" t="s">
        <v>426</v>
      </c>
    </row>
    <row r="239" spans="1:22" x14ac:dyDescent="0.2">
      <c r="B239" s="23" t="s">
        <v>430</v>
      </c>
      <c r="C239" s="25" t="s">
        <v>248</v>
      </c>
      <c r="D239" s="25" t="s">
        <v>63</v>
      </c>
      <c r="E239" s="25" t="s">
        <v>52</v>
      </c>
      <c r="F239" s="25" t="s">
        <v>54</v>
      </c>
      <c r="G239" s="25" t="s">
        <v>51</v>
      </c>
      <c r="H239" s="24" t="s">
        <v>244</v>
      </c>
      <c r="I239" s="24" t="s">
        <v>270</v>
      </c>
      <c r="J239" s="26" t="s">
        <v>271</v>
      </c>
      <c r="K239" s="24" t="s">
        <v>235</v>
      </c>
      <c r="L239" s="26" t="s">
        <v>236</v>
      </c>
      <c r="M239" s="24" t="s">
        <v>237</v>
      </c>
      <c r="N239" s="24" t="s">
        <v>238</v>
      </c>
      <c r="O239" s="26" t="s">
        <v>239</v>
      </c>
      <c r="P239" s="24" t="s">
        <v>240</v>
      </c>
      <c r="Q239" s="24" t="s">
        <v>241</v>
      </c>
      <c r="R239" s="26" t="s">
        <v>242</v>
      </c>
      <c r="S239" s="27" t="s">
        <v>243</v>
      </c>
      <c r="T239" s="129" t="s">
        <v>245</v>
      </c>
      <c r="U239" s="129" t="s">
        <v>272</v>
      </c>
      <c r="V239" s="129" t="s">
        <v>247</v>
      </c>
    </row>
    <row r="240" spans="1:22" x14ac:dyDescent="0.2">
      <c r="B240" s="29" t="s">
        <v>63</v>
      </c>
      <c r="C240" s="18" t="s">
        <v>104</v>
      </c>
      <c r="D240" s="39">
        <v>0</v>
      </c>
      <c r="E240" s="34">
        <v>0</v>
      </c>
      <c r="F240" s="34">
        <v>0</v>
      </c>
      <c r="G240" s="34">
        <v>0</v>
      </c>
      <c r="I240" t="s">
        <v>327</v>
      </c>
      <c r="J240" s="45" t="s">
        <v>327</v>
      </c>
    </row>
    <row r="241" spans="2:22" x14ac:dyDescent="0.2">
      <c r="B241" s="29" t="s">
        <v>431</v>
      </c>
      <c r="C241" s="18" t="s">
        <v>104</v>
      </c>
      <c r="D241" s="39">
        <v>0</v>
      </c>
      <c r="E241" s="34">
        <v>3</v>
      </c>
      <c r="F241" s="34">
        <v>1</v>
      </c>
      <c r="G241" s="34">
        <v>1</v>
      </c>
      <c r="H241" s="28"/>
      <c r="I241" t="s">
        <v>290</v>
      </c>
      <c r="J241" s="45">
        <v>3</v>
      </c>
      <c r="K241" t="s">
        <v>302</v>
      </c>
      <c r="L241" s="157" t="s">
        <v>594</v>
      </c>
      <c r="M241" t="s">
        <v>335</v>
      </c>
      <c r="T241" s="29"/>
      <c r="U241" s="29"/>
      <c r="V241" s="29"/>
    </row>
    <row r="242" spans="2:22" x14ac:dyDescent="0.2">
      <c r="B242" s="29" t="s">
        <v>432</v>
      </c>
      <c r="C242" s="18" t="s">
        <v>104</v>
      </c>
      <c r="D242" s="39">
        <v>0</v>
      </c>
      <c r="E242" s="34">
        <v>14</v>
      </c>
      <c r="F242" s="34">
        <v>8</v>
      </c>
      <c r="G242" s="34">
        <v>5</v>
      </c>
      <c r="H242" s="28"/>
      <c r="I242" t="s">
        <v>290</v>
      </c>
      <c r="J242" s="45">
        <v>3</v>
      </c>
      <c r="K242" t="s">
        <v>302</v>
      </c>
      <c r="L242" s="157" t="s">
        <v>433</v>
      </c>
      <c r="M242" t="s">
        <v>335</v>
      </c>
    </row>
    <row r="243" spans="2:22" x14ac:dyDescent="0.2">
      <c r="B243" s="29" t="s">
        <v>434</v>
      </c>
      <c r="C243" s="18" t="s">
        <v>104</v>
      </c>
      <c r="D243" s="39">
        <v>0</v>
      </c>
      <c r="E243" s="34">
        <f>E242*1.5</f>
        <v>21</v>
      </c>
      <c r="F243" s="34">
        <f t="shared" ref="F243:G243" si="9">F242*1.5</f>
        <v>12</v>
      </c>
      <c r="G243" s="34">
        <f t="shared" si="9"/>
        <v>7.5</v>
      </c>
      <c r="H243" s="28" t="s">
        <v>595</v>
      </c>
      <c r="I243" s="29" t="s">
        <v>275</v>
      </c>
      <c r="J243" s="166">
        <v>2</v>
      </c>
      <c r="K243" t="s">
        <v>311</v>
      </c>
      <c r="L243" s="134" t="s">
        <v>596</v>
      </c>
      <c r="M243" t="s">
        <v>313</v>
      </c>
      <c r="T243" s="48"/>
      <c r="U243" s="48"/>
      <c r="V243" s="48"/>
    </row>
    <row r="244" spans="2:22" x14ac:dyDescent="0.2">
      <c r="B244" s="29" t="s">
        <v>435</v>
      </c>
      <c r="C244" s="18" t="s">
        <v>104</v>
      </c>
      <c r="D244" s="35">
        <v>0</v>
      </c>
      <c r="E244" s="34">
        <v>2</v>
      </c>
      <c r="F244" s="34">
        <v>1.5</v>
      </c>
      <c r="G244" s="34">
        <v>1</v>
      </c>
      <c r="H244" s="28"/>
      <c r="I244" s="29" t="s">
        <v>275</v>
      </c>
      <c r="J244" s="166">
        <v>2</v>
      </c>
      <c r="K244" t="s">
        <v>311</v>
      </c>
      <c r="L244" s="157" t="s">
        <v>597</v>
      </c>
      <c r="M244" t="s">
        <v>313</v>
      </c>
    </row>
    <row r="245" spans="2:22" x14ac:dyDescent="0.2">
      <c r="B245" s="29" t="s">
        <v>436</v>
      </c>
      <c r="C245" s="18" t="s">
        <v>104</v>
      </c>
      <c r="D245" s="35">
        <v>0</v>
      </c>
      <c r="E245" s="34">
        <v>2.5</v>
      </c>
      <c r="F245" s="34">
        <v>2</v>
      </c>
      <c r="G245" s="34">
        <v>1.5</v>
      </c>
      <c r="H245" s="21"/>
      <c r="I245" s="29" t="s">
        <v>275</v>
      </c>
      <c r="J245" s="166">
        <v>2</v>
      </c>
      <c r="K245" t="s">
        <v>311</v>
      </c>
      <c r="L245" s="362" t="s">
        <v>598</v>
      </c>
      <c r="M245" t="s">
        <v>313</v>
      </c>
      <c r="N245" s="29"/>
      <c r="O245" s="141"/>
      <c r="P245" s="29"/>
      <c r="Q245" s="29"/>
      <c r="R245" s="141"/>
      <c r="S245" s="29"/>
    </row>
    <row r="246" spans="2:22" x14ac:dyDescent="0.2">
      <c r="B246" s="21" t="s">
        <v>106</v>
      </c>
      <c r="C246" s="18" t="s">
        <v>104</v>
      </c>
      <c r="D246" s="35">
        <v>0</v>
      </c>
      <c r="E246" s="34">
        <v>14</v>
      </c>
      <c r="F246" s="34">
        <v>8</v>
      </c>
      <c r="G246" s="34">
        <v>5</v>
      </c>
      <c r="H246" s="21"/>
      <c r="I246" s="29" t="s">
        <v>275</v>
      </c>
      <c r="J246" s="166">
        <v>2</v>
      </c>
      <c r="K246" t="s">
        <v>311</v>
      </c>
      <c r="L246" s="362" t="s">
        <v>433</v>
      </c>
      <c r="M246" t="s">
        <v>313</v>
      </c>
      <c r="N246" s="29"/>
      <c r="O246" s="141"/>
      <c r="P246" s="29"/>
      <c r="Q246" s="29"/>
      <c r="R246" s="141"/>
      <c r="S246" s="29"/>
    </row>
    <row r="248" spans="2:22" x14ac:dyDescent="0.2">
      <c r="B248" s="23" t="s">
        <v>437</v>
      </c>
      <c r="C248" s="25" t="s">
        <v>248</v>
      </c>
      <c r="D248" s="25" t="s">
        <v>63</v>
      </c>
      <c r="E248" s="25" t="s">
        <v>52</v>
      </c>
      <c r="F248" s="25" t="s">
        <v>54</v>
      </c>
      <c r="G248" s="25" t="s">
        <v>51</v>
      </c>
      <c r="H248" s="24" t="s">
        <v>244</v>
      </c>
      <c r="I248" s="24" t="s">
        <v>270</v>
      </c>
      <c r="J248" s="26" t="s">
        <v>271</v>
      </c>
      <c r="K248" s="24" t="s">
        <v>235</v>
      </c>
      <c r="L248" s="26" t="s">
        <v>236</v>
      </c>
      <c r="M248" s="24" t="s">
        <v>237</v>
      </c>
      <c r="N248" s="24" t="s">
        <v>238</v>
      </c>
      <c r="O248" s="26" t="s">
        <v>239</v>
      </c>
      <c r="P248" s="24" t="s">
        <v>240</v>
      </c>
      <c r="Q248" s="24" t="s">
        <v>241</v>
      </c>
      <c r="R248" s="26" t="s">
        <v>242</v>
      </c>
      <c r="S248" s="27" t="s">
        <v>243</v>
      </c>
      <c r="T248" s="129" t="s">
        <v>245</v>
      </c>
      <c r="U248" s="129" t="s">
        <v>272</v>
      </c>
      <c r="V248" s="129" t="s">
        <v>247</v>
      </c>
    </row>
    <row r="249" spans="2:22" s="48" customFormat="1" x14ac:dyDescent="0.2">
      <c r="B249" t="s">
        <v>438</v>
      </c>
      <c r="C249" t="s">
        <v>110</v>
      </c>
      <c r="D249" s="5">
        <v>0</v>
      </c>
      <c r="E249" s="3">
        <v>205</v>
      </c>
      <c r="F249" s="3">
        <f>126*1.47</f>
        <v>185.22</v>
      </c>
      <c r="G249" s="3">
        <v>160</v>
      </c>
      <c r="H249" t="s">
        <v>439</v>
      </c>
      <c r="I249" t="s">
        <v>275</v>
      </c>
      <c r="J249" s="45">
        <v>2</v>
      </c>
      <c r="K249" t="s">
        <v>440</v>
      </c>
      <c r="L249" s="134" t="s">
        <v>441</v>
      </c>
      <c r="M249" t="s">
        <v>442</v>
      </c>
      <c r="N249"/>
      <c r="O249" s="134"/>
      <c r="P249"/>
      <c r="Q249"/>
      <c r="R249" s="134"/>
      <c r="S249"/>
      <c r="T249"/>
      <c r="U249"/>
      <c r="V249"/>
    </row>
    <row r="250" spans="2:22" x14ac:dyDescent="0.2">
      <c r="B250" t="s">
        <v>443</v>
      </c>
      <c r="C250" t="s">
        <v>110</v>
      </c>
      <c r="D250" s="5">
        <v>0</v>
      </c>
      <c r="E250" s="3">
        <v>295</v>
      </c>
      <c r="F250" s="3">
        <f>126*2.12</f>
        <v>267.12</v>
      </c>
      <c r="G250" s="3">
        <v>230</v>
      </c>
      <c r="H250" t="s">
        <v>444</v>
      </c>
      <c r="I250" t="s">
        <v>275</v>
      </c>
      <c r="J250" s="45">
        <v>2</v>
      </c>
      <c r="K250" t="s">
        <v>440</v>
      </c>
      <c r="L250" s="134" t="s">
        <v>441</v>
      </c>
      <c r="M250" t="s">
        <v>442</v>
      </c>
    </row>
    <row r="251" spans="2:22" x14ac:dyDescent="0.2">
      <c r="B251" t="s">
        <v>445</v>
      </c>
      <c r="C251" t="s">
        <v>110</v>
      </c>
      <c r="D251" s="5">
        <v>0</v>
      </c>
      <c r="E251" s="3">
        <v>284</v>
      </c>
      <c r="F251" s="3">
        <f>185*1.26</f>
        <v>233.1</v>
      </c>
      <c r="G251" s="3">
        <v>207</v>
      </c>
      <c r="H251" t="s">
        <v>446</v>
      </c>
      <c r="I251" t="s">
        <v>275</v>
      </c>
      <c r="J251" s="45">
        <v>2</v>
      </c>
      <c r="K251" t="s">
        <v>440</v>
      </c>
      <c r="L251" s="134" t="s">
        <v>447</v>
      </c>
      <c r="M251" t="s">
        <v>442</v>
      </c>
    </row>
    <row r="252" spans="2:22" x14ac:dyDescent="0.2">
      <c r="B252" t="s">
        <v>109</v>
      </c>
      <c r="C252" t="s">
        <v>110</v>
      </c>
      <c r="D252" s="5">
        <v>0</v>
      </c>
      <c r="E252" s="3">
        <v>365</v>
      </c>
      <c r="F252" s="3">
        <f>185*1.62</f>
        <v>299.70000000000005</v>
      </c>
      <c r="G252" s="3">
        <v>267</v>
      </c>
      <c r="H252" t="s">
        <v>448</v>
      </c>
      <c r="I252" t="s">
        <v>275</v>
      </c>
      <c r="J252" s="45">
        <v>2</v>
      </c>
      <c r="K252" t="s">
        <v>440</v>
      </c>
      <c r="L252" s="134" t="s">
        <v>447</v>
      </c>
      <c r="M252" t="s">
        <v>442</v>
      </c>
    </row>
    <row r="254" spans="2:22" x14ac:dyDescent="0.2">
      <c r="B254" s="23" t="s">
        <v>449</v>
      </c>
      <c r="C254" s="25" t="s">
        <v>248</v>
      </c>
      <c r="D254" s="25" t="s">
        <v>63</v>
      </c>
      <c r="E254" s="25" t="s">
        <v>52</v>
      </c>
      <c r="F254" s="25" t="s">
        <v>54</v>
      </c>
      <c r="G254" s="25" t="s">
        <v>51</v>
      </c>
      <c r="H254" s="24" t="s">
        <v>244</v>
      </c>
      <c r="I254" s="24" t="s">
        <v>270</v>
      </c>
      <c r="J254" s="26" t="s">
        <v>271</v>
      </c>
      <c r="K254" s="24" t="s">
        <v>235</v>
      </c>
      <c r="L254" s="26" t="s">
        <v>236</v>
      </c>
      <c r="M254" s="24" t="s">
        <v>237</v>
      </c>
      <c r="N254" s="24" t="s">
        <v>238</v>
      </c>
      <c r="O254" s="26" t="s">
        <v>239</v>
      </c>
      <c r="P254" s="24" t="s">
        <v>240</v>
      </c>
      <c r="Q254" s="24" t="s">
        <v>241</v>
      </c>
      <c r="R254" s="26" t="s">
        <v>242</v>
      </c>
      <c r="S254" s="27" t="s">
        <v>243</v>
      </c>
      <c r="T254" s="129" t="s">
        <v>245</v>
      </c>
      <c r="U254" s="129" t="s">
        <v>272</v>
      </c>
      <c r="V254" s="129" t="s">
        <v>247</v>
      </c>
    </row>
    <row r="255" spans="2:22" x14ac:dyDescent="0.2">
      <c r="B255" s="29" t="s">
        <v>63</v>
      </c>
      <c r="C255" s="18" t="s">
        <v>104</v>
      </c>
      <c r="D255" s="39">
        <v>0</v>
      </c>
      <c r="E255" s="34">
        <v>0</v>
      </c>
      <c r="F255" s="34">
        <v>0</v>
      </c>
      <c r="G255" s="34">
        <v>0</v>
      </c>
      <c r="I255" t="s">
        <v>327</v>
      </c>
      <c r="J255" s="45" t="s">
        <v>327</v>
      </c>
    </row>
    <row r="256" spans="2:22" x14ac:dyDescent="0.2">
      <c r="B256" s="29" t="s">
        <v>103</v>
      </c>
      <c r="C256" s="18" t="s">
        <v>104</v>
      </c>
      <c r="D256" s="39">
        <v>0</v>
      </c>
      <c r="E256" s="15">
        <v>103</v>
      </c>
      <c r="F256" s="15">
        <v>83</v>
      </c>
      <c r="G256" s="15">
        <v>63</v>
      </c>
      <c r="H256" t="s">
        <v>423</v>
      </c>
      <c r="I256" t="s">
        <v>290</v>
      </c>
      <c r="J256" s="45">
        <v>3</v>
      </c>
      <c r="K256" t="s">
        <v>302</v>
      </c>
      <c r="L256" s="141" t="s">
        <v>424</v>
      </c>
      <c r="M256" t="s">
        <v>335</v>
      </c>
      <c r="T256" s="48"/>
      <c r="U256" s="48"/>
      <c r="V256" s="48"/>
    </row>
    <row r="257" spans="2:22" x14ac:dyDescent="0.2">
      <c r="B257" s="29" t="s">
        <v>425</v>
      </c>
      <c r="C257" s="18" t="s">
        <v>104</v>
      </c>
      <c r="D257" s="39">
        <v>0</v>
      </c>
      <c r="E257" s="15">
        <v>25</v>
      </c>
      <c r="F257" s="15">
        <v>20</v>
      </c>
      <c r="G257" s="15">
        <v>15</v>
      </c>
      <c r="H257" s="28"/>
      <c r="I257" s="29" t="s">
        <v>275</v>
      </c>
      <c r="J257" s="166">
        <v>2</v>
      </c>
      <c r="K257" t="s">
        <v>311</v>
      </c>
      <c r="L257" s="368" t="s">
        <v>406</v>
      </c>
      <c r="M257" t="s">
        <v>426</v>
      </c>
    </row>
    <row r="258" spans="2:22" x14ac:dyDescent="0.2">
      <c r="B258" s="21" t="s">
        <v>687</v>
      </c>
      <c r="C258" s="18" t="s">
        <v>104</v>
      </c>
      <c r="D258" s="39">
        <v>0</v>
      </c>
      <c r="E258" s="34">
        <f>E257*1.25</f>
        <v>31.25</v>
      </c>
      <c r="F258" s="34">
        <f t="shared" ref="F258:G258" si="10">F257*1.25</f>
        <v>25</v>
      </c>
      <c r="G258" s="34">
        <f t="shared" si="10"/>
        <v>18.75</v>
      </c>
      <c r="H258" s="28" t="s">
        <v>685</v>
      </c>
      <c r="I258" s="29" t="s">
        <v>275</v>
      </c>
      <c r="J258" s="166">
        <v>2</v>
      </c>
      <c r="K258" t="s">
        <v>311</v>
      </c>
      <c r="L258" s="368" t="s">
        <v>688</v>
      </c>
      <c r="M258" t="s">
        <v>426</v>
      </c>
    </row>
    <row r="259" spans="2:22" x14ac:dyDescent="0.2">
      <c r="B259" s="29" t="s">
        <v>122</v>
      </c>
      <c r="C259" s="18" t="s">
        <v>104</v>
      </c>
      <c r="D259" s="39">
        <v>0</v>
      </c>
      <c r="E259" s="34">
        <f>(10/3*85)+10*10</f>
        <v>383.33333333333337</v>
      </c>
      <c r="F259" s="34">
        <f>(10/4*85)+10*10</f>
        <v>312.5</v>
      </c>
      <c r="G259" s="34">
        <f>(10/5*85)+10*10</f>
        <v>270</v>
      </c>
      <c r="H259" s="28" t="s">
        <v>450</v>
      </c>
      <c r="I259" s="28" t="s">
        <v>275</v>
      </c>
      <c r="J259" s="45">
        <v>2</v>
      </c>
      <c r="K259" t="s">
        <v>311</v>
      </c>
      <c r="L259" s="134" t="s">
        <v>428</v>
      </c>
      <c r="M259" t="s">
        <v>426</v>
      </c>
    </row>
    <row r="260" spans="2:22" x14ac:dyDescent="0.2">
      <c r="B260" s="29"/>
      <c r="C260" s="18"/>
      <c r="D260" s="39"/>
      <c r="E260" s="34"/>
      <c r="F260" s="34"/>
      <c r="G260" s="34"/>
      <c r="H260" s="28"/>
      <c r="J260" s="49"/>
      <c r="K260" s="29"/>
    </row>
    <row r="261" spans="2:22" x14ac:dyDescent="0.2">
      <c r="B261" s="23" t="s">
        <v>451</v>
      </c>
      <c r="C261" s="25" t="s">
        <v>248</v>
      </c>
      <c r="D261" s="25" t="s">
        <v>63</v>
      </c>
      <c r="E261" s="25" t="s">
        <v>52</v>
      </c>
      <c r="F261" s="25" t="s">
        <v>54</v>
      </c>
      <c r="G261" s="25" t="s">
        <v>51</v>
      </c>
      <c r="H261" s="24" t="s">
        <v>244</v>
      </c>
      <c r="I261" s="24" t="s">
        <v>270</v>
      </c>
      <c r="J261" s="26" t="s">
        <v>271</v>
      </c>
      <c r="K261" s="24" t="s">
        <v>235</v>
      </c>
      <c r="L261" s="26" t="s">
        <v>236</v>
      </c>
      <c r="M261" s="24" t="s">
        <v>237</v>
      </c>
      <c r="N261" s="24" t="s">
        <v>238</v>
      </c>
      <c r="O261" s="26" t="s">
        <v>239</v>
      </c>
      <c r="P261" s="24" t="s">
        <v>240</v>
      </c>
      <c r="Q261" s="24" t="s">
        <v>241</v>
      </c>
      <c r="R261" s="26" t="s">
        <v>242</v>
      </c>
      <c r="S261" s="27" t="s">
        <v>243</v>
      </c>
      <c r="T261" s="129" t="s">
        <v>245</v>
      </c>
      <c r="U261" s="129" t="s">
        <v>272</v>
      </c>
      <c r="V261" s="129" t="s">
        <v>247</v>
      </c>
    </row>
    <row r="262" spans="2:22" x14ac:dyDescent="0.2">
      <c r="B262" t="s">
        <v>129</v>
      </c>
      <c r="C262" t="s">
        <v>452</v>
      </c>
      <c r="D262" s="5">
        <v>0</v>
      </c>
      <c r="E262" s="3">
        <v>95</v>
      </c>
      <c r="F262" s="3">
        <v>65</v>
      </c>
      <c r="G262" s="3">
        <v>35</v>
      </c>
      <c r="I262" s="28" t="s">
        <v>275</v>
      </c>
      <c r="J262" s="45">
        <v>2</v>
      </c>
      <c r="K262" s="18" t="s">
        <v>453</v>
      </c>
      <c r="L262" s="134" t="s">
        <v>599</v>
      </c>
      <c r="M262" s="18" t="s">
        <v>263</v>
      </c>
    </row>
    <row r="263" spans="2:22" x14ac:dyDescent="0.2">
      <c r="B263" t="s">
        <v>454</v>
      </c>
      <c r="C263" t="s">
        <v>452</v>
      </c>
      <c r="D263" s="5">
        <v>0</v>
      </c>
      <c r="E263" s="3">
        <v>130</v>
      </c>
      <c r="F263" s="3">
        <v>100</v>
      </c>
      <c r="G263" s="3">
        <v>70</v>
      </c>
      <c r="I263" s="28" t="s">
        <v>275</v>
      </c>
      <c r="J263" s="45">
        <v>2</v>
      </c>
      <c r="K263" s="18" t="s">
        <v>453</v>
      </c>
      <c r="L263" s="134" t="s">
        <v>455</v>
      </c>
      <c r="M263" s="18" t="s">
        <v>263</v>
      </c>
    </row>
    <row r="264" spans="2:22" x14ac:dyDescent="0.2">
      <c r="B264" t="s">
        <v>456</v>
      </c>
      <c r="C264" t="s">
        <v>452</v>
      </c>
      <c r="D264" s="5">
        <v>0</v>
      </c>
      <c r="E264" s="3">
        <v>160</v>
      </c>
      <c r="F264" s="3">
        <v>130</v>
      </c>
      <c r="G264" s="3">
        <v>100</v>
      </c>
      <c r="I264" s="28" t="s">
        <v>275</v>
      </c>
      <c r="J264" s="45">
        <v>2</v>
      </c>
      <c r="K264" s="18" t="s">
        <v>453</v>
      </c>
      <c r="L264" s="134" t="s">
        <v>600</v>
      </c>
      <c r="M264" s="18" t="s">
        <v>263</v>
      </c>
    </row>
    <row r="266" spans="2:22" x14ac:dyDescent="0.2">
      <c r="B266" s="23" t="s">
        <v>457</v>
      </c>
      <c r="C266" s="25" t="s">
        <v>248</v>
      </c>
      <c r="D266" s="25" t="s">
        <v>63</v>
      </c>
      <c r="E266" s="25" t="s">
        <v>52</v>
      </c>
      <c r="F266" s="25" t="s">
        <v>54</v>
      </c>
      <c r="G266" s="25" t="s">
        <v>51</v>
      </c>
      <c r="H266" s="24" t="s">
        <v>244</v>
      </c>
      <c r="I266" s="24" t="s">
        <v>270</v>
      </c>
      <c r="J266" s="26" t="s">
        <v>271</v>
      </c>
      <c r="K266" s="24" t="s">
        <v>235</v>
      </c>
      <c r="L266" s="26" t="s">
        <v>236</v>
      </c>
      <c r="M266" s="24" t="s">
        <v>237</v>
      </c>
      <c r="N266" s="24" t="s">
        <v>238</v>
      </c>
      <c r="O266" s="26" t="s">
        <v>239</v>
      </c>
      <c r="P266" s="24" t="s">
        <v>240</v>
      </c>
      <c r="Q266" s="24" t="s">
        <v>241</v>
      </c>
      <c r="R266" s="26" t="s">
        <v>242</v>
      </c>
      <c r="S266" s="27" t="s">
        <v>243</v>
      </c>
      <c r="T266" s="129" t="s">
        <v>245</v>
      </c>
      <c r="U266" s="129" t="s">
        <v>272</v>
      </c>
      <c r="V266" s="129" t="s">
        <v>247</v>
      </c>
    </row>
    <row r="267" spans="2:22" x14ac:dyDescent="0.2">
      <c r="B267" s="29" t="s">
        <v>63</v>
      </c>
      <c r="C267" s="18" t="s">
        <v>104</v>
      </c>
      <c r="D267" s="39">
        <v>0</v>
      </c>
      <c r="E267" s="34">
        <v>0</v>
      </c>
      <c r="F267" s="34">
        <v>0</v>
      </c>
      <c r="G267" s="34">
        <v>0</v>
      </c>
      <c r="I267" t="s">
        <v>327</v>
      </c>
      <c r="J267" s="45" t="s">
        <v>327</v>
      </c>
    </row>
    <row r="268" spans="2:22" x14ac:dyDescent="0.2">
      <c r="B268" s="29" t="s">
        <v>435</v>
      </c>
      <c r="C268" s="18" t="s">
        <v>104</v>
      </c>
      <c r="D268" s="39">
        <v>0</v>
      </c>
      <c r="E268" s="34">
        <v>2</v>
      </c>
      <c r="F268" s="34">
        <v>1.5</v>
      </c>
      <c r="G268" s="34">
        <v>1</v>
      </c>
      <c r="H268" s="28"/>
      <c r="I268" s="29" t="s">
        <v>275</v>
      </c>
      <c r="J268" s="166">
        <v>2</v>
      </c>
      <c r="K268" t="s">
        <v>311</v>
      </c>
      <c r="L268" s="157" t="s">
        <v>597</v>
      </c>
      <c r="M268" t="s">
        <v>313</v>
      </c>
    </row>
    <row r="269" spans="2:22" x14ac:dyDescent="0.2">
      <c r="B269" s="29" t="s">
        <v>436</v>
      </c>
      <c r="C269" s="18" t="s">
        <v>104</v>
      </c>
      <c r="D269" s="39">
        <v>0</v>
      </c>
      <c r="E269" s="34">
        <v>2.5</v>
      </c>
      <c r="F269" s="34">
        <v>2</v>
      </c>
      <c r="G269" s="34">
        <v>1.5</v>
      </c>
      <c r="H269" s="21"/>
      <c r="I269" s="29" t="s">
        <v>275</v>
      </c>
      <c r="J269" s="166">
        <v>2</v>
      </c>
      <c r="K269" t="s">
        <v>311</v>
      </c>
      <c r="L269" s="362" t="s">
        <v>598</v>
      </c>
      <c r="M269" t="s">
        <v>313</v>
      </c>
      <c r="T269" s="48"/>
      <c r="U269" s="48"/>
      <c r="V269" s="48"/>
    </row>
    <row r="270" spans="2:22" x14ac:dyDescent="0.2">
      <c r="B270" s="21" t="s">
        <v>106</v>
      </c>
      <c r="C270" s="18" t="s">
        <v>104</v>
      </c>
      <c r="D270" s="35">
        <v>0</v>
      </c>
      <c r="E270" s="34">
        <v>14</v>
      </c>
      <c r="F270" s="34">
        <v>8</v>
      </c>
      <c r="G270" s="34">
        <v>5</v>
      </c>
      <c r="H270" s="21"/>
      <c r="I270" s="29" t="s">
        <v>275</v>
      </c>
      <c r="J270" s="166">
        <v>2</v>
      </c>
      <c r="K270" t="s">
        <v>311</v>
      </c>
      <c r="L270" s="362" t="s">
        <v>433</v>
      </c>
      <c r="M270" t="s">
        <v>313</v>
      </c>
      <c r="T270" s="48"/>
      <c r="U270" s="48"/>
      <c r="V270" s="48"/>
    </row>
    <row r="271" spans="2:22" x14ac:dyDescent="0.2">
      <c r="B271" s="29" t="s">
        <v>126</v>
      </c>
      <c r="C271" s="18" t="s">
        <v>104</v>
      </c>
      <c r="D271" s="39">
        <v>0</v>
      </c>
      <c r="E271" s="34">
        <v>14</v>
      </c>
      <c r="F271" s="34">
        <v>8</v>
      </c>
      <c r="G271" s="34">
        <v>5</v>
      </c>
      <c r="H271" s="21"/>
      <c r="I271" s="29" t="s">
        <v>275</v>
      </c>
      <c r="J271" s="166">
        <v>2</v>
      </c>
      <c r="K271" t="s">
        <v>311</v>
      </c>
      <c r="L271" s="362" t="s">
        <v>433</v>
      </c>
      <c r="M271" t="s">
        <v>313</v>
      </c>
    </row>
    <row r="272" spans="2:22" x14ac:dyDescent="0.2">
      <c r="B272" s="29"/>
      <c r="C272" s="18"/>
      <c r="D272" s="39"/>
      <c r="E272" s="34"/>
      <c r="F272" s="34"/>
      <c r="G272" s="34"/>
      <c r="J272" s="49"/>
    </row>
    <row r="273" spans="2:22" x14ac:dyDescent="0.2">
      <c r="B273" s="23" t="s">
        <v>2</v>
      </c>
      <c r="C273" s="25" t="s">
        <v>248</v>
      </c>
      <c r="D273" s="25" t="s">
        <v>63</v>
      </c>
      <c r="E273" s="25" t="s">
        <v>52</v>
      </c>
      <c r="F273" s="25" t="s">
        <v>54</v>
      </c>
      <c r="G273" s="25" t="s">
        <v>51</v>
      </c>
      <c r="H273" s="24" t="s">
        <v>244</v>
      </c>
      <c r="I273" s="24" t="s">
        <v>270</v>
      </c>
      <c r="J273" s="26" t="s">
        <v>271</v>
      </c>
      <c r="K273" s="24" t="s">
        <v>235</v>
      </c>
      <c r="L273" s="26" t="s">
        <v>236</v>
      </c>
      <c r="M273" s="24" t="s">
        <v>237</v>
      </c>
      <c r="N273" s="24" t="s">
        <v>238</v>
      </c>
      <c r="O273" s="26" t="s">
        <v>239</v>
      </c>
      <c r="P273" s="24" t="s">
        <v>240</v>
      </c>
      <c r="Q273" s="24" t="s">
        <v>241</v>
      </c>
      <c r="R273" s="26" t="s">
        <v>242</v>
      </c>
      <c r="S273" s="27" t="s">
        <v>243</v>
      </c>
      <c r="T273" s="129" t="s">
        <v>245</v>
      </c>
      <c r="U273" s="129" t="s">
        <v>272</v>
      </c>
      <c r="V273" s="129" t="s">
        <v>247</v>
      </c>
    </row>
    <row r="274" spans="2:22" s="48" customFormat="1" x14ac:dyDescent="0.2">
      <c r="B274" s="29" t="s">
        <v>458</v>
      </c>
      <c r="C274" s="18" t="s">
        <v>83</v>
      </c>
      <c r="D274" s="39">
        <v>0</v>
      </c>
      <c r="E274" s="32">
        <v>0.7</v>
      </c>
      <c r="F274" s="32">
        <v>0.6</v>
      </c>
      <c r="G274" s="32">
        <v>0.5</v>
      </c>
      <c r="H274"/>
      <c r="I274" t="s">
        <v>348</v>
      </c>
      <c r="J274" s="49">
        <v>1</v>
      </c>
      <c r="K274" t="s">
        <v>306</v>
      </c>
      <c r="L274" s="157" t="s">
        <v>459</v>
      </c>
      <c r="M274" t="s">
        <v>308</v>
      </c>
      <c r="N274" t="s">
        <v>321</v>
      </c>
      <c r="O274" s="157" t="s">
        <v>459</v>
      </c>
      <c r="P274" t="s">
        <v>308</v>
      </c>
      <c r="Q274" t="s">
        <v>453</v>
      </c>
      <c r="R274" s="134" t="s">
        <v>460</v>
      </c>
      <c r="S274" s="18" t="s">
        <v>263</v>
      </c>
      <c r="T274"/>
      <c r="U274"/>
      <c r="V274"/>
    </row>
    <row r="275" spans="2:22" x14ac:dyDescent="0.2">
      <c r="B275" s="29" t="s">
        <v>461</v>
      </c>
      <c r="C275" s="18" t="s">
        <v>83</v>
      </c>
      <c r="D275" s="39">
        <v>0</v>
      </c>
      <c r="E275" s="32">
        <v>0.95</v>
      </c>
      <c r="F275" s="32">
        <v>0.9</v>
      </c>
      <c r="G275" s="32">
        <v>0.85</v>
      </c>
      <c r="H275" t="s">
        <v>462</v>
      </c>
      <c r="I275" t="s">
        <v>348</v>
      </c>
      <c r="J275" s="49">
        <v>2</v>
      </c>
      <c r="K275" t="s">
        <v>306</v>
      </c>
      <c r="L275" s="157" t="s">
        <v>463</v>
      </c>
      <c r="M275" t="s">
        <v>308</v>
      </c>
      <c r="N275" t="s">
        <v>321</v>
      </c>
      <c r="O275" s="157" t="s">
        <v>463</v>
      </c>
      <c r="P275" t="s">
        <v>308</v>
      </c>
    </row>
    <row r="276" spans="2:22" x14ac:dyDescent="0.2">
      <c r="B276" s="29"/>
      <c r="C276" s="18"/>
      <c r="D276" s="39"/>
      <c r="E276" s="34"/>
      <c r="F276" s="34"/>
      <c r="G276" s="34"/>
      <c r="J276" s="49"/>
    </row>
    <row r="278" spans="2:22" ht="17" x14ac:dyDescent="0.2">
      <c r="B278" s="105" t="s">
        <v>464</v>
      </c>
      <c r="C278" s="97"/>
      <c r="D278" s="97"/>
      <c r="E278" s="97"/>
      <c r="F278" s="97"/>
      <c r="G278" s="97"/>
      <c r="H278" s="97"/>
      <c r="I278" s="97"/>
      <c r="J278" s="276"/>
      <c r="K278" s="97"/>
      <c r="L278" s="140"/>
      <c r="M278" s="97"/>
      <c r="N278" s="97"/>
      <c r="O278" s="140"/>
      <c r="P278" s="97"/>
      <c r="Q278" s="97"/>
      <c r="R278" s="140"/>
      <c r="S278" s="97"/>
      <c r="T278" s="97"/>
      <c r="U278" s="97"/>
      <c r="V278" s="97"/>
    </row>
    <row r="280" spans="2:22" x14ac:dyDescent="0.2">
      <c r="B280" s="9" t="s">
        <v>233</v>
      </c>
      <c r="C280" s="75" t="s">
        <v>248</v>
      </c>
      <c r="D280" s="25" t="s">
        <v>63</v>
      </c>
      <c r="E280" s="25" t="s">
        <v>52</v>
      </c>
      <c r="F280" s="25" t="s">
        <v>54</v>
      </c>
      <c r="G280" s="25" t="s">
        <v>51</v>
      </c>
      <c r="H280" s="25" t="s">
        <v>244</v>
      </c>
      <c r="I280" s="25" t="s">
        <v>270</v>
      </c>
      <c r="J280" s="278" t="s">
        <v>271</v>
      </c>
      <c r="K280" s="71" t="s">
        <v>235</v>
      </c>
      <c r="L280" s="133" t="s">
        <v>236</v>
      </c>
      <c r="M280" s="71" t="s">
        <v>237</v>
      </c>
      <c r="N280" s="71" t="s">
        <v>238</v>
      </c>
      <c r="O280" s="133" t="s">
        <v>239</v>
      </c>
      <c r="P280" s="71" t="s">
        <v>240</v>
      </c>
      <c r="Q280" s="71" t="s">
        <v>241</v>
      </c>
      <c r="R280" s="133" t="s">
        <v>242</v>
      </c>
      <c r="S280" s="71" t="s">
        <v>243</v>
      </c>
      <c r="T280" s="131" t="s">
        <v>245</v>
      </c>
      <c r="U280" s="131" t="s">
        <v>272</v>
      </c>
      <c r="V280" s="131" t="s">
        <v>247</v>
      </c>
    </row>
    <row r="281" spans="2:22" x14ac:dyDescent="0.2">
      <c r="B281" t="s">
        <v>63</v>
      </c>
      <c r="C281" s="72" t="s">
        <v>92</v>
      </c>
      <c r="D281" s="15">
        <v>0</v>
      </c>
      <c r="E281" s="15">
        <v>0</v>
      </c>
      <c r="F281" s="15">
        <v>0</v>
      </c>
      <c r="G281" s="15">
        <v>0</v>
      </c>
      <c r="H281" s="18"/>
      <c r="I281" s="18" t="s">
        <v>327</v>
      </c>
      <c r="J281" s="45" t="s">
        <v>327</v>
      </c>
      <c r="K281" s="18"/>
      <c r="L281" s="143"/>
      <c r="M281" s="18"/>
      <c r="N281" s="18"/>
      <c r="O281" s="143"/>
      <c r="P281" s="18"/>
      <c r="Q281" s="18"/>
      <c r="R281" s="143"/>
      <c r="S281" s="18"/>
      <c r="T281" s="21"/>
      <c r="U281" s="21"/>
      <c r="V281" s="21"/>
    </row>
    <row r="282" spans="2:22" x14ac:dyDescent="0.2">
      <c r="B282" t="s">
        <v>150</v>
      </c>
      <c r="C282" s="72" t="s">
        <v>92</v>
      </c>
      <c r="D282" s="15">
        <v>0</v>
      </c>
      <c r="E282" s="15">
        <v>900</v>
      </c>
      <c r="F282" s="15">
        <v>600</v>
      </c>
      <c r="G282" s="15">
        <v>300</v>
      </c>
      <c r="H282" s="18" t="s">
        <v>465</v>
      </c>
      <c r="I282" s="18" t="s">
        <v>466</v>
      </c>
      <c r="J282" s="46">
        <v>2</v>
      </c>
      <c r="K282" s="18" t="s">
        <v>467</v>
      </c>
      <c r="L282" s="143" t="s">
        <v>468</v>
      </c>
      <c r="M282" t="s">
        <v>469</v>
      </c>
      <c r="N282" t="s">
        <v>470</v>
      </c>
      <c r="O282" s="143">
        <v>1000</v>
      </c>
      <c r="P282" t="s">
        <v>471</v>
      </c>
      <c r="Q282" s="18"/>
      <c r="R282" s="143"/>
      <c r="S282" s="18"/>
      <c r="T282" s="21"/>
      <c r="U282" s="21"/>
      <c r="V282" s="21"/>
    </row>
    <row r="283" spans="2:22" x14ac:dyDescent="0.2">
      <c r="B283" t="s">
        <v>148</v>
      </c>
      <c r="C283" s="72" t="s">
        <v>92</v>
      </c>
      <c r="D283" s="15">
        <v>0</v>
      </c>
      <c r="E283" s="15">
        <v>1500</v>
      </c>
      <c r="F283" s="15">
        <v>1200</v>
      </c>
      <c r="G283" s="15">
        <v>950</v>
      </c>
      <c r="H283" s="18" t="s">
        <v>472</v>
      </c>
      <c r="I283" s="18" t="s">
        <v>466</v>
      </c>
      <c r="J283" s="46">
        <v>2</v>
      </c>
      <c r="K283" s="18" t="s">
        <v>473</v>
      </c>
      <c r="L283" s="143" t="s">
        <v>474</v>
      </c>
      <c r="M283" s="18" t="s">
        <v>475</v>
      </c>
      <c r="N283" s="18"/>
      <c r="O283" s="143"/>
      <c r="P283" s="18"/>
      <c r="Q283" s="18"/>
      <c r="R283" s="143"/>
      <c r="S283" s="18"/>
      <c r="T283" s="21"/>
      <c r="U283" s="21"/>
      <c r="V283" s="21"/>
    </row>
    <row r="284" spans="2:22" x14ac:dyDescent="0.2">
      <c r="B284" t="s">
        <v>476</v>
      </c>
      <c r="C284" s="72" t="s">
        <v>92</v>
      </c>
      <c r="D284" s="15">
        <v>0</v>
      </c>
      <c r="E284" s="15">
        <v>300</v>
      </c>
      <c r="F284" s="15">
        <v>200</v>
      </c>
      <c r="G284" s="15">
        <v>100</v>
      </c>
      <c r="H284" s="18"/>
      <c r="I284" s="18" t="s">
        <v>275</v>
      </c>
      <c r="J284" s="46">
        <v>2</v>
      </c>
      <c r="K284" t="s">
        <v>470</v>
      </c>
      <c r="L284" s="143">
        <v>200</v>
      </c>
      <c r="M284" t="s">
        <v>471</v>
      </c>
      <c r="N284" s="18"/>
      <c r="O284" s="143"/>
      <c r="P284" s="18"/>
      <c r="Q284" s="18"/>
      <c r="R284" s="143"/>
      <c r="S284" s="18"/>
      <c r="T284" s="21"/>
      <c r="U284" s="21"/>
      <c r="V284" s="21"/>
    </row>
    <row r="285" spans="2:22" x14ac:dyDescent="0.2">
      <c r="B285" t="s">
        <v>477</v>
      </c>
      <c r="C285" s="72" t="s">
        <v>92</v>
      </c>
      <c r="D285" s="15">
        <v>0</v>
      </c>
      <c r="E285" s="15">
        <v>500</v>
      </c>
      <c r="F285" s="15">
        <v>400</v>
      </c>
      <c r="G285" s="15">
        <v>300</v>
      </c>
      <c r="H285" s="18"/>
      <c r="I285" s="18" t="s">
        <v>275</v>
      </c>
      <c r="J285" s="46">
        <v>2</v>
      </c>
      <c r="K285" t="s">
        <v>470</v>
      </c>
      <c r="L285" s="143">
        <v>400</v>
      </c>
      <c r="M285" t="s">
        <v>471</v>
      </c>
      <c r="N285" s="18"/>
      <c r="O285" s="143"/>
      <c r="P285" s="18"/>
      <c r="Q285" s="18"/>
      <c r="R285" s="143"/>
      <c r="S285" s="18"/>
      <c r="T285" s="21"/>
      <c r="U285" s="21"/>
      <c r="V285" s="21"/>
    </row>
    <row r="286" spans="2:22" x14ac:dyDescent="0.2">
      <c r="B286" t="s">
        <v>478</v>
      </c>
      <c r="C286" s="72" t="s">
        <v>92</v>
      </c>
      <c r="D286" s="15">
        <v>0</v>
      </c>
      <c r="E286" s="15">
        <v>200</v>
      </c>
      <c r="F286" s="15">
        <v>100</v>
      </c>
      <c r="G286" s="15">
        <v>50</v>
      </c>
      <c r="H286" s="18" t="s">
        <v>479</v>
      </c>
      <c r="I286" s="18" t="s">
        <v>466</v>
      </c>
      <c r="J286" s="46">
        <v>2</v>
      </c>
      <c r="K286" s="21" t="s">
        <v>480</v>
      </c>
      <c r="L286" s="164" t="s">
        <v>481</v>
      </c>
      <c r="M286" s="21" t="s">
        <v>482</v>
      </c>
      <c r="N286" t="s">
        <v>470</v>
      </c>
      <c r="O286" s="143">
        <v>50</v>
      </c>
      <c r="P286" t="s">
        <v>471</v>
      </c>
      <c r="Q286" s="18"/>
      <c r="R286" s="143"/>
      <c r="S286" s="18"/>
      <c r="T286" s="21"/>
      <c r="U286" s="21"/>
      <c r="V286" s="21"/>
    </row>
    <row r="287" spans="2:22" x14ac:dyDescent="0.2">
      <c r="B287" t="s">
        <v>483</v>
      </c>
      <c r="C287" s="72" t="s">
        <v>92</v>
      </c>
      <c r="D287" s="15">
        <v>0</v>
      </c>
      <c r="E287" s="15">
        <v>225</v>
      </c>
      <c r="F287" s="15">
        <v>175</v>
      </c>
      <c r="G287" s="15">
        <v>125</v>
      </c>
      <c r="H287" s="319" t="s">
        <v>484</v>
      </c>
      <c r="I287" s="275" t="s">
        <v>466</v>
      </c>
      <c r="J287" s="46">
        <v>2</v>
      </c>
      <c r="K287" s="21" t="s">
        <v>485</v>
      </c>
      <c r="L287" s="164" t="s">
        <v>486</v>
      </c>
      <c r="M287" s="18" t="s">
        <v>263</v>
      </c>
      <c r="N287" t="s">
        <v>470</v>
      </c>
      <c r="O287" s="143">
        <v>200</v>
      </c>
      <c r="P287" t="s">
        <v>471</v>
      </c>
      <c r="Q287" s="18"/>
      <c r="R287" s="143"/>
      <c r="S287" s="18"/>
      <c r="T287" s="21"/>
      <c r="U287" s="21"/>
      <c r="V287" s="21"/>
    </row>
    <row r="288" spans="2:22" x14ac:dyDescent="0.2">
      <c r="B288" t="s">
        <v>149</v>
      </c>
      <c r="C288" s="72" t="s">
        <v>92</v>
      </c>
      <c r="D288" s="15">
        <v>0</v>
      </c>
      <c r="E288" s="15">
        <v>1790</v>
      </c>
      <c r="F288" s="15">
        <v>1290</v>
      </c>
      <c r="G288" s="15">
        <v>800</v>
      </c>
      <c r="H288" s="18"/>
      <c r="I288" s="18" t="s">
        <v>466</v>
      </c>
      <c r="J288" s="46">
        <v>2</v>
      </c>
      <c r="K288" s="161" t="s">
        <v>487</v>
      </c>
      <c r="L288" s="143" t="s">
        <v>488</v>
      </c>
      <c r="M288" s="18" t="s">
        <v>489</v>
      </c>
      <c r="N288" s="18"/>
      <c r="O288" s="143"/>
      <c r="P288" s="18"/>
      <c r="Q288" s="18"/>
      <c r="R288" s="143"/>
      <c r="S288" s="18"/>
      <c r="T288" s="21"/>
      <c r="U288" s="21"/>
      <c r="V288" s="21"/>
    </row>
    <row r="289" spans="2:22" x14ac:dyDescent="0.2">
      <c r="B289" t="s">
        <v>151</v>
      </c>
      <c r="C289" s="72" t="s">
        <v>92</v>
      </c>
      <c r="D289" s="15">
        <v>0</v>
      </c>
      <c r="E289" s="15">
        <v>500</v>
      </c>
      <c r="F289" s="15">
        <v>300</v>
      </c>
      <c r="G289" s="15">
        <v>100</v>
      </c>
      <c r="H289" s="18"/>
      <c r="I289" s="18" t="s">
        <v>466</v>
      </c>
      <c r="J289" s="46">
        <v>2</v>
      </c>
      <c r="K289" s="18" t="s">
        <v>490</v>
      </c>
      <c r="L289" s="143" t="s">
        <v>491</v>
      </c>
      <c r="M289" s="18" t="s">
        <v>489</v>
      </c>
      <c r="N289" t="s">
        <v>470</v>
      </c>
      <c r="O289" s="143">
        <v>100</v>
      </c>
      <c r="P289" t="s">
        <v>471</v>
      </c>
      <c r="Q289" s="18"/>
      <c r="R289" s="143"/>
      <c r="S289" s="18"/>
      <c r="T289" s="21"/>
      <c r="U289" s="21"/>
      <c r="V289" s="21"/>
    </row>
    <row r="290" spans="2:22" x14ac:dyDescent="0.2">
      <c r="B290" t="s">
        <v>492</v>
      </c>
      <c r="C290" s="72" t="s">
        <v>92</v>
      </c>
      <c r="D290" s="15">
        <v>0</v>
      </c>
      <c r="E290" s="15">
        <v>300</v>
      </c>
      <c r="F290" s="15">
        <v>200</v>
      </c>
      <c r="G290" s="15">
        <v>100</v>
      </c>
      <c r="H290" s="18"/>
      <c r="I290" s="18" t="s">
        <v>275</v>
      </c>
      <c r="J290" s="46">
        <v>2</v>
      </c>
      <c r="K290" t="s">
        <v>470</v>
      </c>
      <c r="L290" s="143">
        <v>200</v>
      </c>
      <c r="M290" t="s">
        <v>471</v>
      </c>
      <c r="N290" s="18"/>
      <c r="O290" s="143"/>
      <c r="P290" s="18"/>
      <c r="Q290" s="18"/>
      <c r="R290" s="143"/>
      <c r="S290" s="18"/>
      <c r="T290" s="21"/>
      <c r="U290" s="21"/>
      <c r="V290" s="21"/>
    </row>
    <row r="291" spans="2:22" x14ac:dyDescent="0.2">
      <c r="B291" t="s">
        <v>493</v>
      </c>
      <c r="C291" s="72" t="s">
        <v>92</v>
      </c>
      <c r="D291" s="15">
        <v>0</v>
      </c>
      <c r="E291" s="15">
        <v>75</v>
      </c>
      <c r="F291" s="15">
        <v>50</v>
      </c>
      <c r="G291" s="15">
        <v>25</v>
      </c>
      <c r="H291" s="18"/>
      <c r="I291" s="18" t="s">
        <v>275</v>
      </c>
      <c r="J291" s="46">
        <v>2</v>
      </c>
      <c r="K291" t="s">
        <v>470</v>
      </c>
      <c r="L291" s="143">
        <v>50</v>
      </c>
      <c r="M291" t="s">
        <v>471</v>
      </c>
      <c r="N291" s="18"/>
      <c r="O291" s="143"/>
      <c r="P291" s="18"/>
      <c r="Q291" s="18"/>
      <c r="R291" s="143"/>
      <c r="S291" s="18"/>
      <c r="T291" s="21"/>
      <c r="U291" s="21"/>
      <c r="V291" s="21"/>
    </row>
    <row r="292" spans="2:22" x14ac:dyDescent="0.2">
      <c r="B292" t="s">
        <v>152</v>
      </c>
      <c r="C292" s="72" t="s">
        <v>92</v>
      </c>
      <c r="D292" s="15">
        <v>0</v>
      </c>
      <c r="E292" s="15">
        <v>300</v>
      </c>
      <c r="F292" s="15">
        <v>200</v>
      </c>
      <c r="G292" s="15">
        <v>100</v>
      </c>
      <c r="H292" s="18"/>
      <c r="I292" s="18" t="s">
        <v>275</v>
      </c>
      <c r="J292" s="46">
        <v>2</v>
      </c>
      <c r="K292" t="s">
        <v>470</v>
      </c>
      <c r="L292" s="143">
        <v>200</v>
      </c>
      <c r="M292" t="s">
        <v>471</v>
      </c>
      <c r="N292" s="18"/>
      <c r="O292" s="143"/>
      <c r="P292" s="18"/>
      <c r="Q292" s="18"/>
      <c r="R292" s="143"/>
      <c r="S292" s="18"/>
      <c r="T292" s="21"/>
      <c r="U292" s="21"/>
      <c r="V292" s="21"/>
    </row>
    <row r="293" spans="2:22" x14ac:dyDescent="0.2">
      <c r="B293" t="s">
        <v>494</v>
      </c>
      <c r="C293" s="72" t="s">
        <v>92</v>
      </c>
      <c r="D293" s="15">
        <v>0</v>
      </c>
      <c r="E293" s="15">
        <v>300</v>
      </c>
      <c r="F293" s="15">
        <v>100</v>
      </c>
      <c r="G293" s="15">
        <v>25</v>
      </c>
      <c r="H293" s="18"/>
      <c r="I293" s="18" t="s">
        <v>466</v>
      </c>
      <c r="J293" s="46">
        <v>2</v>
      </c>
      <c r="K293" s="18" t="s">
        <v>652</v>
      </c>
      <c r="L293" s="164" t="s">
        <v>654</v>
      </c>
      <c r="M293" s="18" t="s">
        <v>653</v>
      </c>
      <c r="N293" t="s">
        <v>470</v>
      </c>
      <c r="O293" s="143">
        <v>50</v>
      </c>
      <c r="P293" t="s">
        <v>471</v>
      </c>
      <c r="Q293" s="18"/>
      <c r="R293" s="143"/>
      <c r="S293" s="18"/>
      <c r="T293" s="21"/>
      <c r="U293" s="21"/>
      <c r="V293" s="21"/>
    </row>
    <row r="294" spans="2:22" x14ac:dyDescent="0.2">
      <c r="B294" t="s">
        <v>495</v>
      </c>
      <c r="C294" s="72" t="s">
        <v>92</v>
      </c>
      <c r="D294" s="15">
        <v>0</v>
      </c>
      <c r="E294" s="15">
        <v>150</v>
      </c>
      <c r="F294" s="15">
        <v>100</v>
      </c>
      <c r="G294" s="15">
        <v>50</v>
      </c>
      <c r="H294" s="18"/>
      <c r="I294" s="18" t="s">
        <v>290</v>
      </c>
      <c r="J294" s="46">
        <v>3</v>
      </c>
      <c r="K294" s="18" t="s">
        <v>453</v>
      </c>
      <c r="L294" s="143" t="s">
        <v>496</v>
      </c>
      <c r="M294" s="18" t="s">
        <v>263</v>
      </c>
      <c r="N294" s="18"/>
      <c r="O294" s="143"/>
      <c r="P294" s="18"/>
      <c r="Q294" s="18"/>
      <c r="R294" s="143"/>
      <c r="S294" s="18"/>
      <c r="T294" s="21"/>
      <c r="U294" s="21"/>
      <c r="V294" s="21"/>
    </row>
    <row r="295" spans="2:22" x14ac:dyDescent="0.2">
      <c r="B295" t="s">
        <v>497</v>
      </c>
      <c r="C295" s="72" t="s">
        <v>92</v>
      </c>
      <c r="D295" s="15">
        <v>0</v>
      </c>
      <c r="E295" s="15">
        <v>300</v>
      </c>
      <c r="F295" s="15">
        <v>200</v>
      </c>
      <c r="G295" s="15">
        <v>100</v>
      </c>
      <c r="H295" s="18"/>
      <c r="I295" s="18" t="s">
        <v>275</v>
      </c>
      <c r="J295" s="83">
        <v>2</v>
      </c>
      <c r="K295" t="s">
        <v>311</v>
      </c>
      <c r="L295" s="143" t="s">
        <v>498</v>
      </c>
      <c r="M295" t="s">
        <v>313</v>
      </c>
      <c r="N295" s="18"/>
      <c r="O295" s="143"/>
      <c r="P295" s="18"/>
      <c r="Q295" s="18"/>
      <c r="R295" s="143"/>
      <c r="S295" s="18"/>
      <c r="T295" s="21"/>
      <c r="U295" s="21"/>
      <c r="V295" s="21"/>
    </row>
    <row r="296" spans="2:22" x14ac:dyDescent="0.2">
      <c r="B296" s="48"/>
      <c r="C296" s="48"/>
      <c r="D296" s="48"/>
      <c r="E296" s="48"/>
      <c r="F296" s="48"/>
      <c r="G296" s="48"/>
      <c r="H296" s="48"/>
      <c r="I296" s="48"/>
      <c r="J296" s="279"/>
      <c r="K296" s="48"/>
      <c r="L296" s="146"/>
      <c r="M296" s="48"/>
      <c r="N296" s="48"/>
      <c r="O296" s="146"/>
      <c r="P296" s="48"/>
      <c r="Q296" s="48"/>
      <c r="R296" s="146"/>
      <c r="S296" s="48"/>
      <c r="T296" s="48"/>
      <c r="U296" s="48"/>
      <c r="V296" s="48"/>
    </row>
    <row r="298" spans="2:22" ht="17" x14ac:dyDescent="0.2">
      <c r="B298" s="105" t="s">
        <v>499</v>
      </c>
      <c r="C298" s="97"/>
      <c r="D298" s="97"/>
      <c r="E298" s="97"/>
      <c r="F298" s="97"/>
      <c r="G298" s="97"/>
      <c r="H298" s="97"/>
      <c r="I298" s="97"/>
      <c r="J298" s="276"/>
      <c r="K298" s="97"/>
      <c r="L298" s="140"/>
      <c r="M298" s="97"/>
      <c r="N298" s="97"/>
      <c r="O298" s="140"/>
      <c r="P298" s="97"/>
      <c r="Q298" s="97"/>
      <c r="R298" s="140"/>
      <c r="S298" s="97"/>
      <c r="T298" s="97"/>
      <c r="U298" s="97"/>
      <c r="V298" s="97"/>
    </row>
    <row r="299" spans="2:22" x14ac:dyDescent="0.2">
      <c r="B299" s="1"/>
      <c r="C299" s="72"/>
      <c r="D299" s="15"/>
      <c r="E299" s="15"/>
      <c r="F299" s="15"/>
      <c r="G299" s="15"/>
      <c r="H299" s="18"/>
      <c r="I299" s="18"/>
      <c r="J299" s="46"/>
      <c r="K299" s="73"/>
      <c r="L299" s="147"/>
      <c r="M299" s="74"/>
      <c r="N299" s="18"/>
      <c r="O299" s="143"/>
      <c r="P299" s="18"/>
      <c r="Q299" s="18"/>
      <c r="R299" s="143"/>
      <c r="S299" s="18"/>
      <c r="T299" s="18"/>
      <c r="U299" s="18"/>
      <c r="V299" s="18"/>
    </row>
    <row r="300" spans="2:22" x14ac:dyDescent="0.2">
      <c r="B300" s="9" t="s">
        <v>233</v>
      </c>
      <c r="C300" s="75" t="s">
        <v>248</v>
      </c>
      <c r="D300" s="25" t="s">
        <v>157</v>
      </c>
      <c r="E300" s="25" t="s">
        <v>500</v>
      </c>
      <c r="F300" s="25" t="s">
        <v>501</v>
      </c>
      <c r="G300" s="25" t="s">
        <v>502</v>
      </c>
      <c r="H300" s="25" t="s">
        <v>244</v>
      </c>
      <c r="I300" s="25" t="s">
        <v>270</v>
      </c>
      <c r="J300" s="278" t="s">
        <v>271</v>
      </c>
      <c r="K300" s="71" t="s">
        <v>235</v>
      </c>
      <c r="L300" s="133" t="s">
        <v>236</v>
      </c>
      <c r="M300" s="71" t="s">
        <v>237</v>
      </c>
      <c r="N300" s="71" t="s">
        <v>238</v>
      </c>
      <c r="O300" s="133" t="s">
        <v>239</v>
      </c>
      <c r="P300" s="71" t="s">
        <v>240</v>
      </c>
      <c r="Q300" s="71" t="s">
        <v>241</v>
      </c>
      <c r="R300" s="133" t="s">
        <v>242</v>
      </c>
      <c r="S300" s="71" t="s">
        <v>243</v>
      </c>
      <c r="T300" s="131" t="s">
        <v>245</v>
      </c>
      <c r="U300" s="131" t="s">
        <v>272</v>
      </c>
      <c r="V300" s="131" t="s">
        <v>247</v>
      </c>
    </row>
    <row r="301" spans="2:22" x14ac:dyDescent="0.2">
      <c r="B301" t="str">
        <f>'DATA - Variabelen &amp; waarden'!B281</f>
        <v>Geen</v>
      </c>
      <c r="C301" s="72" t="s">
        <v>503</v>
      </c>
      <c r="D301" s="15">
        <v>0</v>
      </c>
      <c r="E301" s="15">
        <v>0</v>
      </c>
      <c r="F301" s="15">
        <v>0</v>
      </c>
      <c r="G301" s="15">
        <v>0</v>
      </c>
      <c r="H301" s="18"/>
      <c r="I301" s="18" t="s">
        <v>327</v>
      </c>
      <c r="J301" s="46" t="s">
        <v>327</v>
      </c>
      <c r="K301" s="18"/>
      <c r="L301" s="143"/>
      <c r="M301" s="18"/>
      <c r="N301" s="18"/>
      <c r="O301" s="143"/>
      <c r="P301" s="18"/>
      <c r="Q301" s="18"/>
      <c r="R301" s="143"/>
      <c r="S301" s="18"/>
      <c r="T301" s="21"/>
      <c r="U301" s="21"/>
      <c r="V301" s="21"/>
    </row>
    <row r="302" spans="2:22" x14ac:dyDescent="0.2">
      <c r="B302" t="str">
        <f>'DATA - Variabelen &amp; waarden'!B282</f>
        <v>Bouw - Isolatieplaat (Typha Board)</v>
      </c>
      <c r="C302" s="72" t="s">
        <v>503</v>
      </c>
      <c r="D302" s="15" t="s">
        <v>147</v>
      </c>
      <c r="E302" s="162">
        <v>0.8</v>
      </c>
      <c r="F302" s="163">
        <v>700</v>
      </c>
      <c r="G302" s="163" t="s">
        <v>504</v>
      </c>
      <c r="H302" s="18"/>
      <c r="I302" s="18" t="s">
        <v>290</v>
      </c>
      <c r="J302" s="46">
        <v>3</v>
      </c>
      <c r="K302" s="18" t="s">
        <v>467</v>
      </c>
      <c r="L302" s="143" t="s">
        <v>505</v>
      </c>
      <c r="M302" t="s">
        <v>469</v>
      </c>
      <c r="N302" s="18"/>
      <c r="O302" s="143"/>
      <c r="P302" s="18"/>
      <c r="Q302" s="18"/>
      <c r="R302" s="143"/>
      <c r="S302" s="18"/>
      <c r="T302" s="21"/>
      <c r="U302" s="21"/>
      <c r="V302" s="21"/>
    </row>
    <row r="303" spans="2:22" x14ac:dyDescent="0.2">
      <c r="B303" t="str">
        <f>'DATA - Variabelen &amp; waarden'!B283</f>
        <v>Bouw - Inblaasisolatie</v>
      </c>
      <c r="C303" s="72" t="s">
        <v>503</v>
      </c>
      <c r="D303" s="15" t="s">
        <v>147</v>
      </c>
      <c r="E303" s="162">
        <v>0.9</v>
      </c>
      <c r="F303" s="163" t="s">
        <v>506</v>
      </c>
      <c r="G303" s="163" t="s">
        <v>506</v>
      </c>
      <c r="H303" s="18"/>
      <c r="I303" s="18" t="s">
        <v>290</v>
      </c>
      <c r="J303" s="46">
        <v>3</v>
      </c>
      <c r="K303" s="18" t="s">
        <v>473</v>
      </c>
      <c r="L303" s="143" t="s">
        <v>507</v>
      </c>
      <c r="M303" s="18" t="s">
        <v>508</v>
      </c>
      <c r="N303" s="18"/>
      <c r="O303" s="143"/>
      <c r="P303" s="18"/>
      <c r="Q303" s="18"/>
      <c r="R303" s="143"/>
      <c r="S303" s="18"/>
      <c r="T303" s="21"/>
      <c r="U303" s="21"/>
      <c r="V303" s="21"/>
    </row>
    <row r="304" spans="2:22" x14ac:dyDescent="0.2">
      <c r="B304" t="str">
        <f>'DATA - Variabelen &amp; waarden'!B284</f>
        <v xml:space="preserve">Bouw - Particle board </v>
      </c>
      <c r="C304" s="72" t="s">
        <v>503</v>
      </c>
      <c r="D304" s="15" t="s">
        <v>147</v>
      </c>
      <c r="E304" s="162">
        <v>0.8</v>
      </c>
      <c r="F304" s="163">
        <v>700</v>
      </c>
      <c r="G304" s="163" t="s">
        <v>504</v>
      </c>
      <c r="H304" s="18" t="s">
        <v>509</v>
      </c>
      <c r="I304" s="18" t="s">
        <v>315</v>
      </c>
      <c r="J304" s="46">
        <v>1</v>
      </c>
      <c r="K304" s="18" t="s">
        <v>510</v>
      </c>
      <c r="L304" s="143"/>
      <c r="M304" s="18"/>
      <c r="N304" s="18"/>
      <c r="O304" s="143"/>
      <c r="P304" s="18"/>
      <c r="Q304" s="18"/>
      <c r="R304" s="143"/>
      <c r="S304" s="18"/>
      <c r="T304" s="21"/>
      <c r="U304" s="21"/>
      <c r="V304" s="21"/>
    </row>
    <row r="305" spans="2:22" x14ac:dyDescent="0.2">
      <c r="B305" t="str">
        <f>'DATA - Variabelen &amp; waarden'!B285</f>
        <v xml:space="preserve">Bouw - Binderless board </v>
      </c>
      <c r="C305" s="72" t="s">
        <v>503</v>
      </c>
      <c r="D305" s="15" t="s">
        <v>147</v>
      </c>
      <c r="E305" s="162">
        <v>0.8</v>
      </c>
      <c r="F305" s="163">
        <v>700</v>
      </c>
      <c r="G305" s="163" t="s">
        <v>504</v>
      </c>
      <c r="H305" s="18" t="s">
        <v>509</v>
      </c>
      <c r="I305" s="18" t="s">
        <v>315</v>
      </c>
      <c r="J305" s="46">
        <v>1</v>
      </c>
      <c r="K305" s="18" t="s">
        <v>510</v>
      </c>
      <c r="L305" s="143"/>
      <c r="M305" s="18"/>
      <c r="N305" s="18"/>
      <c r="O305" s="143"/>
      <c r="P305" s="18"/>
      <c r="Q305" s="18"/>
      <c r="R305" s="143"/>
      <c r="S305" s="18"/>
      <c r="T305" s="21"/>
      <c r="U305" s="21"/>
      <c r="V305" s="21"/>
    </row>
    <row r="306" spans="2:22" x14ac:dyDescent="0.2">
      <c r="B306" t="str">
        <f>'DATA - Variabelen &amp; waarden'!B286</f>
        <v>Bouw - Cellulose fibre board (ECOR)</v>
      </c>
      <c r="C306" s="72" t="s">
        <v>503</v>
      </c>
      <c r="D306" s="15" t="s">
        <v>147</v>
      </c>
      <c r="E306" s="162">
        <v>0.5</v>
      </c>
      <c r="F306" s="163" t="s">
        <v>511</v>
      </c>
      <c r="G306" s="163" t="s">
        <v>512</v>
      </c>
      <c r="H306" s="18" t="s">
        <v>513</v>
      </c>
      <c r="I306" s="18" t="s">
        <v>466</v>
      </c>
      <c r="J306" s="46">
        <v>2</v>
      </c>
      <c r="K306" s="21" t="s">
        <v>480</v>
      </c>
      <c r="L306" s="143" t="s">
        <v>514</v>
      </c>
      <c r="M306" s="21" t="s">
        <v>482</v>
      </c>
      <c r="N306" s="18"/>
      <c r="O306" s="143"/>
      <c r="P306" s="18"/>
      <c r="Q306" s="18"/>
      <c r="R306" s="143"/>
      <c r="S306" s="18"/>
      <c r="T306" s="21"/>
      <c r="U306" s="21"/>
      <c r="V306" s="21"/>
    </row>
    <row r="307" spans="2:22" x14ac:dyDescent="0.2">
      <c r="B307" t="str">
        <f>'DATA - Variabelen &amp; waarden'!B287</f>
        <v>Bouw - Beton - Vuller</v>
      </c>
      <c r="C307" s="72" t="s">
        <v>503</v>
      </c>
      <c r="D307" s="15" t="s">
        <v>147</v>
      </c>
      <c r="E307" s="320">
        <v>0.83</v>
      </c>
      <c r="F307" s="321" t="s">
        <v>515</v>
      </c>
      <c r="G307" s="321" t="s">
        <v>515</v>
      </c>
      <c r="H307" s="319"/>
      <c r="I307" s="18" t="s">
        <v>466</v>
      </c>
      <c r="J307" s="46">
        <v>2</v>
      </c>
      <c r="K307" s="21" t="s">
        <v>485</v>
      </c>
      <c r="L307" s="164" t="s">
        <v>516</v>
      </c>
      <c r="M307" s="18" t="s">
        <v>263</v>
      </c>
      <c r="N307" s="18"/>
      <c r="O307" s="143"/>
      <c r="P307" s="18"/>
      <c r="Q307" s="18"/>
      <c r="R307" s="143"/>
      <c r="S307" s="18"/>
      <c r="T307" s="21"/>
      <c r="U307" s="21"/>
      <c r="V307" s="21"/>
    </row>
    <row r="308" spans="2:22" x14ac:dyDescent="0.2">
      <c r="B308" t="str">
        <f>'DATA - Variabelen &amp; waarden'!B288</f>
        <v>Bouw - Beton - Droge mortel - Versterker</v>
      </c>
      <c r="C308" s="72" t="s">
        <v>503</v>
      </c>
      <c r="D308" s="15" t="s">
        <v>153</v>
      </c>
      <c r="E308" s="162">
        <v>0.98</v>
      </c>
      <c r="F308" s="163" t="s">
        <v>517</v>
      </c>
      <c r="G308" s="163" t="s">
        <v>517</v>
      </c>
      <c r="H308" s="18"/>
      <c r="I308" s="18" t="s">
        <v>290</v>
      </c>
      <c r="J308" s="46">
        <v>3</v>
      </c>
      <c r="K308" s="161" t="s">
        <v>487</v>
      </c>
      <c r="L308" s="143" t="s">
        <v>518</v>
      </c>
      <c r="M308" s="18" t="s">
        <v>489</v>
      </c>
      <c r="N308" s="18"/>
      <c r="O308" s="143"/>
      <c r="P308" s="18"/>
      <c r="Q308" s="18"/>
      <c r="R308" s="143"/>
      <c r="S308" s="18"/>
      <c r="T308" s="21"/>
      <c r="U308" s="21"/>
      <c r="V308" s="21"/>
    </row>
    <row r="309" spans="2:22" x14ac:dyDescent="0.2">
      <c r="B309" t="str">
        <f>'DATA - Variabelen &amp; waarden'!B289</f>
        <v xml:space="preserve">Plastics - Spuitgieten - Vuller </v>
      </c>
      <c r="C309" s="72" t="s">
        <v>503</v>
      </c>
      <c r="D309" s="15" t="s">
        <v>147</v>
      </c>
      <c r="E309" s="162">
        <v>0.97</v>
      </c>
      <c r="F309" s="163" t="s">
        <v>519</v>
      </c>
      <c r="G309" s="163" t="s">
        <v>520</v>
      </c>
      <c r="H309" s="18"/>
      <c r="I309" s="18" t="s">
        <v>290</v>
      </c>
      <c r="J309" s="46">
        <v>3</v>
      </c>
      <c r="K309" s="18" t="s">
        <v>490</v>
      </c>
      <c r="L309" s="143" t="s">
        <v>521</v>
      </c>
      <c r="M309" s="18" t="s">
        <v>489</v>
      </c>
      <c r="N309" s="18"/>
      <c r="O309" s="143"/>
      <c r="P309" s="18"/>
      <c r="Q309" s="18"/>
      <c r="R309" s="143"/>
      <c r="S309" s="18"/>
      <c r="T309" s="21"/>
      <c r="U309" s="21"/>
      <c r="V309" s="21"/>
    </row>
    <row r="310" spans="2:22" x14ac:dyDescent="0.2">
      <c r="B310" t="str">
        <f>'DATA - Variabelen &amp; waarden'!B290</f>
        <v>Plastics - Composiet matrix</v>
      </c>
      <c r="C310" s="72" t="s">
        <v>503</v>
      </c>
      <c r="D310" s="15" t="s">
        <v>147</v>
      </c>
      <c r="E310" s="162">
        <v>0.97</v>
      </c>
      <c r="F310" s="163" t="s">
        <v>519</v>
      </c>
      <c r="G310" s="163" t="s">
        <v>520</v>
      </c>
      <c r="H310" s="18" t="s">
        <v>522</v>
      </c>
      <c r="I310" s="18" t="s">
        <v>315</v>
      </c>
      <c r="J310" s="46">
        <v>1</v>
      </c>
      <c r="K310" s="21" t="s">
        <v>510</v>
      </c>
      <c r="L310" s="143"/>
      <c r="M310" s="18"/>
      <c r="N310" s="18"/>
      <c r="O310" s="143"/>
      <c r="P310" s="18"/>
      <c r="Q310" s="18"/>
      <c r="R310" s="143"/>
      <c r="S310" s="18"/>
      <c r="T310" s="21"/>
      <c r="U310" s="21"/>
      <c r="V310" s="21"/>
    </row>
    <row r="311" spans="2:22" x14ac:dyDescent="0.2">
      <c r="B311" t="str">
        <f>'DATA - Variabelen &amp; waarden'!B291</f>
        <v xml:space="preserve">Papier - Moulded fibre </v>
      </c>
      <c r="C311" s="72" t="s">
        <v>503</v>
      </c>
      <c r="D311" s="15" t="s">
        <v>147</v>
      </c>
      <c r="E311" s="162">
        <v>0.9</v>
      </c>
      <c r="F311" s="163" t="s">
        <v>511</v>
      </c>
      <c r="G311" s="163" t="s">
        <v>512</v>
      </c>
      <c r="H311" s="18" t="s">
        <v>523</v>
      </c>
      <c r="I311" s="18" t="s">
        <v>315</v>
      </c>
      <c r="J311" s="46">
        <v>1</v>
      </c>
      <c r="K311" s="21" t="s">
        <v>510</v>
      </c>
      <c r="L311" s="143"/>
      <c r="M311" s="18"/>
      <c r="N311" s="18"/>
      <c r="O311" s="143"/>
      <c r="P311" s="18"/>
      <c r="Q311" s="18"/>
      <c r="R311" s="143"/>
      <c r="S311" s="18"/>
      <c r="T311" s="21"/>
      <c r="U311" s="21"/>
      <c r="V311" s="21"/>
    </row>
    <row r="312" spans="2:22" x14ac:dyDescent="0.2">
      <c r="B312" t="str">
        <f>'DATA - Variabelen &amp; waarden'!B292</f>
        <v>Papier - Massief karton - Vuller</v>
      </c>
      <c r="C312" s="72" t="s">
        <v>503</v>
      </c>
      <c r="D312" s="15" t="s">
        <v>147</v>
      </c>
      <c r="E312" s="162">
        <v>0.9</v>
      </c>
      <c r="F312" s="163" t="s">
        <v>511</v>
      </c>
      <c r="G312" s="163" t="s">
        <v>512</v>
      </c>
      <c r="H312" s="18"/>
      <c r="I312" s="18" t="s">
        <v>290</v>
      </c>
      <c r="J312" s="46">
        <v>3</v>
      </c>
      <c r="K312" s="18" t="s">
        <v>261</v>
      </c>
      <c r="L312" s="165" t="s">
        <v>524</v>
      </c>
      <c r="M312" s="18" t="s">
        <v>263</v>
      </c>
      <c r="N312" s="18"/>
      <c r="O312" s="143"/>
      <c r="P312" s="18"/>
      <c r="Q312" s="18"/>
      <c r="R312" s="143"/>
      <c r="S312" s="18"/>
      <c r="T312" s="21"/>
      <c r="U312" s="21"/>
      <c r="V312" s="21"/>
    </row>
    <row r="313" spans="2:22" x14ac:dyDescent="0.2">
      <c r="B313" t="str">
        <f>'DATA - Variabelen &amp; waarden'!B293</f>
        <v xml:space="preserve">Papier - Decoratie </v>
      </c>
      <c r="C313" s="72" t="s">
        <v>503</v>
      </c>
      <c r="D313" s="15" t="s">
        <v>147</v>
      </c>
      <c r="E313" s="162">
        <v>0.9</v>
      </c>
      <c r="F313" s="163" t="s">
        <v>651</v>
      </c>
      <c r="G313" s="163" t="s">
        <v>651</v>
      </c>
      <c r="H313" s="18"/>
      <c r="I313" s="18" t="s">
        <v>466</v>
      </c>
      <c r="J313" s="46">
        <v>2</v>
      </c>
      <c r="K313" s="18" t="s">
        <v>652</v>
      </c>
      <c r="L313" s="143" t="s">
        <v>713</v>
      </c>
      <c r="M313" s="18" t="s">
        <v>653</v>
      </c>
      <c r="N313" s="18" t="s">
        <v>261</v>
      </c>
      <c r="O313" s="165" t="s">
        <v>714</v>
      </c>
      <c r="P313" s="18" t="s">
        <v>263</v>
      </c>
      <c r="Q313" s="18"/>
      <c r="R313" s="143"/>
      <c r="S313" s="18"/>
      <c r="T313" s="21"/>
      <c r="U313" s="21"/>
      <c r="V313" s="21"/>
    </row>
    <row r="314" spans="2:22" x14ac:dyDescent="0.2">
      <c r="B314" t="str">
        <f>'DATA - Variabelen &amp; waarden'!B294</f>
        <v>Substraat - Oesterzwammen</v>
      </c>
      <c r="C314" s="72" t="s">
        <v>503</v>
      </c>
      <c r="D314" s="15" t="s">
        <v>147</v>
      </c>
      <c r="E314" s="162">
        <v>0.8</v>
      </c>
      <c r="F314" s="163" t="s">
        <v>525</v>
      </c>
      <c r="G314" s="163" t="s">
        <v>504</v>
      </c>
      <c r="H314" s="18"/>
      <c r="I314" s="18" t="s">
        <v>290</v>
      </c>
      <c r="J314" s="46">
        <v>3</v>
      </c>
      <c r="K314" s="18" t="s">
        <v>453</v>
      </c>
      <c r="L314" s="143" t="s">
        <v>526</v>
      </c>
      <c r="M314" s="18" t="s">
        <v>263</v>
      </c>
      <c r="N314" s="18"/>
      <c r="O314" s="143"/>
      <c r="P314" s="18"/>
      <c r="Q314" s="18"/>
      <c r="R314" s="143"/>
      <c r="S314" s="18"/>
      <c r="T314" s="21"/>
      <c r="U314" s="21"/>
      <c r="V314" s="21"/>
    </row>
    <row r="315" spans="2:22" x14ac:dyDescent="0.2">
      <c r="B315" t="str">
        <f>'DATA - Variabelen &amp; waarden'!B295</f>
        <v>Substraat - Turf &amp; veenvervangers</v>
      </c>
      <c r="C315" s="72" t="s">
        <v>503</v>
      </c>
      <c r="D315" s="15" t="s">
        <v>147</v>
      </c>
      <c r="E315" s="162">
        <v>0.8</v>
      </c>
      <c r="F315" s="163" t="s">
        <v>525</v>
      </c>
      <c r="G315" s="163" t="s">
        <v>504</v>
      </c>
      <c r="H315" s="18"/>
      <c r="I315" s="18" t="s">
        <v>275</v>
      </c>
      <c r="J315" s="83">
        <v>2</v>
      </c>
      <c r="K315" t="s">
        <v>311</v>
      </c>
      <c r="L315" s="143" t="s">
        <v>526</v>
      </c>
      <c r="M315" t="s">
        <v>313</v>
      </c>
      <c r="N315" s="18"/>
      <c r="O315" s="143"/>
      <c r="P315" s="18"/>
      <c r="Q315" s="18"/>
      <c r="R315" s="143"/>
      <c r="S315" s="18"/>
      <c r="T315" s="21"/>
      <c r="U315" s="21"/>
      <c r="V315" s="21"/>
    </row>
    <row r="316" spans="2:22" x14ac:dyDescent="0.2">
      <c r="C316" s="72"/>
      <c r="D316" s="15"/>
      <c r="E316" s="84"/>
      <c r="F316" s="15"/>
      <c r="G316" s="15"/>
      <c r="H316" s="18"/>
      <c r="I316" s="18"/>
      <c r="J316" s="83"/>
      <c r="K316" s="73"/>
      <c r="L316" s="147"/>
      <c r="M316" s="74"/>
      <c r="N316" s="18"/>
      <c r="O316" s="143"/>
      <c r="P316" s="18"/>
      <c r="Q316" s="18"/>
      <c r="R316" s="143"/>
      <c r="S316" s="18"/>
      <c r="T316" s="18"/>
      <c r="U316" s="18"/>
      <c r="V316" s="18"/>
    </row>
    <row r="318" spans="2:22" ht="17" x14ac:dyDescent="0.2">
      <c r="B318" s="105" t="s">
        <v>180</v>
      </c>
      <c r="C318" s="97"/>
      <c r="D318" s="97"/>
      <c r="E318" s="97"/>
      <c r="F318" s="97"/>
      <c r="G318" s="97"/>
      <c r="H318" s="97"/>
      <c r="I318" s="97"/>
      <c r="J318" s="276"/>
      <c r="K318" s="97"/>
      <c r="L318" s="140"/>
      <c r="M318" s="97"/>
      <c r="N318" s="97"/>
      <c r="O318" s="140"/>
      <c r="P318" s="97"/>
      <c r="Q318" s="97"/>
      <c r="R318" s="140"/>
      <c r="S318" s="97"/>
      <c r="T318" s="97"/>
      <c r="U318" s="97"/>
      <c r="V318" s="97"/>
    </row>
    <row r="319" spans="2:22" x14ac:dyDescent="0.2">
      <c r="B319" s="1"/>
    </row>
    <row r="320" spans="2:22" x14ac:dyDescent="0.2">
      <c r="B320" s="23" t="s">
        <v>162</v>
      </c>
      <c r="C320" s="25" t="s">
        <v>248</v>
      </c>
      <c r="D320" s="25" t="s">
        <v>63</v>
      </c>
      <c r="E320" s="25" t="s">
        <v>52</v>
      </c>
      <c r="F320" s="25" t="s">
        <v>54</v>
      </c>
      <c r="G320" s="25" t="s">
        <v>51</v>
      </c>
      <c r="H320" s="24" t="s">
        <v>244</v>
      </c>
      <c r="I320" s="24" t="s">
        <v>270</v>
      </c>
      <c r="J320" s="278" t="s">
        <v>271</v>
      </c>
      <c r="K320" s="24" t="s">
        <v>235</v>
      </c>
      <c r="L320" s="26" t="s">
        <v>236</v>
      </c>
      <c r="M320" s="24" t="s">
        <v>237</v>
      </c>
      <c r="N320" s="24" t="s">
        <v>238</v>
      </c>
      <c r="O320" s="26" t="s">
        <v>239</v>
      </c>
      <c r="P320" s="24" t="s">
        <v>240</v>
      </c>
      <c r="Q320" s="24" t="s">
        <v>241</v>
      </c>
      <c r="R320" s="26" t="s">
        <v>242</v>
      </c>
      <c r="S320" s="27" t="s">
        <v>243</v>
      </c>
      <c r="T320" s="129" t="s">
        <v>245</v>
      </c>
      <c r="U320" s="129" t="s">
        <v>272</v>
      </c>
      <c r="V320" s="129" t="s">
        <v>247</v>
      </c>
    </row>
    <row r="321" spans="1:22" x14ac:dyDescent="0.2">
      <c r="B321" t="s">
        <v>63</v>
      </c>
      <c r="C321" s="18"/>
      <c r="D321" s="34">
        <v>0</v>
      </c>
      <c r="E321" s="34">
        <v>0</v>
      </c>
      <c r="F321" s="34">
        <v>0</v>
      </c>
      <c r="G321" s="34">
        <v>0</v>
      </c>
      <c r="I321" t="s">
        <v>327</v>
      </c>
      <c r="J321" s="49" t="s">
        <v>327</v>
      </c>
    </row>
    <row r="322" spans="1:22" x14ac:dyDescent="0.2">
      <c r="B322" t="s">
        <v>183</v>
      </c>
      <c r="C322" s="18" t="s">
        <v>100</v>
      </c>
      <c r="D322" s="39">
        <v>0</v>
      </c>
      <c r="E322" s="34">
        <v>0.15</v>
      </c>
      <c r="F322" s="34">
        <v>0.12</v>
      </c>
      <c r="G322" s="34">
        <v>0.1</v>
      </c>
      <c r="I322" s="18" t="s">
        <v>275</v>
      </c>
      <c r="J322" s="83">
        <v>2</v>
      </c>
      <c r="K322" t="s">
        <v>311</v>
      </c>
      <c r="L322" s="134" t="s">
        <v>601</v>
      </c>
      <c r="M322" t="s">
        <v>313</v>
      </c>
    </row>
    <row r="323" spans="1:22" x14ac:dyDescent="0.2">
      <c r="B323" t="s">
        <v>99</v>
      </c>
      <c r="C323" s="18" t="s">
        <v>100</v>
      </c>
      <c r="D323" s="39">
        <v>0</v>
      </c>
      <c r="E323" s="34">
        <v>0.05</v>
      </c>
      <c r="F323" s="34">
        <v>0.04</v>
      </c>
      <c r="G323" s="34">
        <v>0.03</v>
      </c>
      <c r="H323" s="284"/>
      <c r="I323" s="18" t="s">
        <v>275</v>
      </c>
      <c r="J323" s="83">
        <v>2</v>
      </c>
      <c r="K323" t="s">
        <v>311</v>
      </c>
      <c r="L323" s="134" t="s">
        <v>602</v>
      </c>
      <c r="M323" t="s">
        <v>313</v>
      </c>
    </row>
    <row r="324" spans="1:22" x14ac:dyDescent="0.2">
      <c r="C324" s="18"/>
      <c r="D324" s="39"/>
      <c r="E324" s="34"/>
      <c r="F324" s="34"/>
      <c r="G324" s="34"/>
      <c r="H324" s="34"/>
      <c r="I324" s="34"/>
      <c r="J324" s="49"/>
    </row>
    <row r="325" spans="1:22" x14ac:dyDescent="0.2">
      <c r="B325" t="s">
        <v>527</v>
      </c>
      <c r="C325" s="18"/>
      <c r="D325" s="39"/>
      <c r="E325" s="34"/>
      <c r="F325" s="34"/>
      <c r="G325" s="34"/>
      <c r="H325" s="34"/>
      <c r="I325" s="34"/>
      <c r="J325" s="49"/>
    </row>
    <row r="326" spans="1:22" x14ac:dyDescent="0.2">
      <c r="B326" t="s">
        <v>167</v>
      </c>
      <c r="C326" s="18"/>
      <c r="D326" s="39"/>
      <c r="E326" s="34"/>
      <c r="F326" s="34"/>
      <c r="G326" s="34"/>
      <c r="H326" s="34"/>
      <c r="I326" s="34"/>
      <c r="J326" s="49"/>
    </row>
    <row r="327" spans="1:22" x14ac:dyDescent="0.2">
      <c r="B327" t="s">
        <v>76</v>
      </c>
      <c r="C327" s="18"/>
      <c r="D327" s="39"/>
      <c r="E327" s="34"/>
      <c r="F327" s="34"/>
      <c r="G327" s="34"/>
      <c r="H327" s="34"/>
      <c r="I327" s="34"/>
      <c r="J327" s="49"/>
    </row>
    <row r="329" spans="1:22" x14ac:dyDescent="0.2">
      <c r="A329" s="28"/>
      <c r="B329" s="23" t="s">
        <v>528</v>
      </c>
      <c r="C329" s="25" t="s">
        <v>248</v>
      </c>
      <c r="D329" s="25" t="s">
        <v>63</v>
      </c>
      <c r="E329" s="25" t="s">
        <v>52</v>
      </c>
      <c r="F329" s="25" t="s">
        <v>54</v>
      </c>
      <c r="G329" s="25" t="s">
        <v>51</v>
      </c>
      <c r="H329" s="24" t="s">
        <v>244</v>
      </c>
      <c r="I329" s="24" t="s">
        <v>270</v>
      </c>
      <c r="J329" s="278" t="s">
        <v>271</v>
      </c>
      <c r="K329" s="24" t="s">
        <v>235</v>
      </c>
      <c r="L329" s="26" t="s">
        <v>236</v>
      </c>
      <c r="M329" s="24" t="s">
        <v>237</v>
      </c>
      <c r="N329" s="24" t="s">
        <v>238</v>
      </c>
      <c r="O329" s="26" t="s">
        <v>239</v>
      </c>
      <c r="P329" s="24" t="s">
        <v>240</v>
      </c>
      <c r="Q329" s="24" t="s">
        <v>241</v>
      </c>
      <c r="R329" s="26" t="s">
        <v>242</v>
      </c>
      <c r="S329" s="27" t="s">
        <v>243</v>
      </c>
      <c r="T329" s="129" t="s">
        <v>245</v>
      </c>
      <c r="U329" s="129" t="s">
        <v>272</v>
      </c>
      <c r="V329" s="129" t="s">
        <v>247</v>
      </c>
    </row>
    <row r="330" spans="1:22" x14ac:dyDescent="0.2">
      <c r="A330" s="28"/>
      <c r="B330" s="29" t="s">
        <v>63</v>
      </c>
      <c r="C330" s="18" t="s">
        <v>529</v>
      </c>
      <c r="D330" s="34">
        <v>0</v>
      </c>
      <c r="E330" s="34">
        <v>0</v>
      </c>
      <c r="F330" s="34">
        <v>0</v>
      </c>
      <c r="G330" s="34">
        <v>0</v>
      </c>
      <c r="I330" t="s">
        <v>327</v>
      </c>
      <c r="J330" s="49" t="s">
        <v>327</v>
      </c>
    </row>
    <row r="331" spans="1:22" x14ac:dyDescent="0.2">
      <c r="A331" s="28"/>
      <c r="B331" s="29" t="s">
        <v>171</v>
      </c>
      <c r="C331" s="18" t="s">
        <v>529</v>
      </c>
      <c r="D331" s="39">
        <v>0</v>
      </c>
      <c r="E331" s="15">
        <v>600</v>
      </c>
      <c r="F331" s="15">
        <v>550</v>
      </c>
      <c r="G331" s="15">
        <v>500</v>
      </c>
      <c r="I331" s="18" t="s">
        <v>275</v>
      </c>
      <c r="J331" s="83">
        <v>2</v>
      </c>
      <c r="K331" t="s">
        <v>311</v>
      </c>
      <c r="L331" s="134" t="s">
        <v>603</v>
      </c>
      <c r="M331" t="s">
        <v>313</v>
      </c>
    </row>
    <row r="332" spans="1:22" x14ac:dyDescent="0.2">
      <c r="A332" s="28"/>
      <c r="B332" s="29" t="s">
        <v>530</v>
      </c>
      <c r="C332" s="18" t="s">
        <v>529</v>
      </c>
      <c r="D332" s="39">
        <v>0</v>
      </c>
      <c r="E332" s="15">
        <v>500</v>
      </c>
      <c r="F332" s="15">
        <v>450</v>
      </c>
      <c r="G332" s="15">
        <v>400</v>
      </c>
      <c r="I332" s="18" t="s">
        <v>275</v>
      </c>
      <c r="J332" s="83">
        <v>2</v>
      </c>
      <c r="K332" t="s">
        <v>311</v>
      </c>
      <c r="L332" s="134" t="s">
        <v>604</v>
      </c>
      <c r="M332" t="s">
        <v>313</v>
      </c>
    </row>
    <row r="333" spans="1:22" x14ac:dyDescent="0.2">
      <c r="B333" s="29" t="s">
        <v>114</v>
      </c>
      <c r="C333" s="18" t="s">
        <v>529</v>
      </c>
      <c r="D333" s="5">
        <v>0</v>
      </c>
      <c r="E333" s="15">
        <v>500</v>
      </c>
      <c r="F333" s="15">
        <v>400</v>
      </c>
      <c r="G333" s="15">
        <v>300</v>
      </c>
      <c r="H333" s="28" t="s">
        <v>656</v>
      </c>
      <c r="I333" s="18" t="s">
        <v>275</v>
      </c>
      <c r="J333" s="83">
        <v>2</v>
      </c>
      <c r="K333" t="s">
        <v>311</v>
      </c>
      <c r="L333" s="134" t="s">
        <v>605</v>
      </c>
      <c r="M333" t="s">
        <v>313</v>
      </c>
      <c r="N333" s="18" t="s">
        <v>473</v>
      </c>
      <c r="O333" s="148" t="s">
        <v>656</v>
      </c>
      <c r="P333" s="18" t="s">
        <v>508</v>
      </c>
    </row>
    <row r="334" spans="1:22" x14ac:dyDescent="0.2">
      <c r="B334" s="18" t="s">
        <v>531</v>
      </c>
      <c r="C334" s="18" t="s">
        <v>529</v>
      </c>
      <c r="D334" s="5">
        <v>0</v>
      </c>
      <c r="E334" s="15">
        <v>500</v>
      </c>
      <c r="F334" s="15">
        <v>400</v>
      </c>
      <c r="G334" s="15">
        <v>300</v>
      </c>
      <c r="H334" t="s">
        <v>711</v>
      </c>
      <c r="I334" s="28" t="s">
        <v>315</v>
      </c>
      <c r="J334" s="49">
        <v>1</v>
      </c>
      <c r="K334" t="s">
        <v>321</v>
      </c>
      <c r="L334" s="308" t="s">
        <v>712</v>
      </c>
      <c r="M334" t="s">
        <v>308</v>
      </c>
      <c r="N334" t="s">
        <v>311</v>
      </c>
      <c r="O334" s="134" t="s">
        <v>605</v>
      </c>
      <c r="P334" t="s">
        <v>313</v>
      </c>
    </row>
    <row r="335" spans="1:22" x14ac:dyDescent="0.2">
      <c r="B335" s="29" t="s">
        <v>414</v>
      </c>
      <c r="C335" s="18" t="s">
        <v>529</v>
      </c>
      <c r="D335" s="5">
        <v>0</v>
      </c>
      <c r="E335" s="5"/>
      <c r="F335" s="5"/>
      <c r="G335" s="5"/>
      <c r="I335" t="s">
        <v>327</v>
      </c>
      <c r="J335" s="49" t="s">
        <v>327</v>
      </c>
    </row>
    <row r="336" spans="1:22" x14ac:dyDescent="0.2">
      <c r="B336" s="29" t="s">
        <v>415</v>
      </c>
      <c r="C336" s="18" t="s">
        <v>529</v>
      </c>
      <c r="D336" s="5">
        <v>0</v>
      </c>
      <c r="E336" s="5"/>
      <c r="F336" s="5"/>
      <c r="G336" s="5"/>
      <c r="I336" t="s">
        <v>327</v>
      </c>
      <c r="J336" s="49" t="s">
        <v>327</v>
      </c>
    </row>
    <row r="338" spans="2:22" x14ac:dyDescent="0.2">
      <c r="B338" s="23" t="s">
        <v>532</v>
      </c>
      <c r="C338" s="25" t="s">
        <v>248</v>
      </c>
      <c r="D338" s="25" t="s">
        <v>63</v>
      </c>
      <c r="E338" s="25" t="s">
        <v>52</v>
      </c>
      <c r="F338" s="25" t="s">
        <v>54</v>
      </c>
      <c r="G338" s="25" t="s">
        <v>51</v>
      </c>
      <c r="H338" s="24" t="s">
        <v>244</v>
      </c>
      <c r="I338" s="24" t="s">
        <v>270</v>
      </c>
      <c r="J338" s="278" t="s">
        <v>271</v>
      </c>
      <c r="K338" s="24" t="s">
        <v>235</v>
      </c>
      <c r="L338" s="26" t="s">
        <v>236</v>
      </c>
      <c r="M338" s="24" t="s">
        <v>237</v>
      </c>
      <c r="N338" s="24" t="s">
        <v>238</v>
      </c>
      <c r="O338" s="26" t="s">
        <v>239</v>
      </c>
      <c r="P338" s="24" t="s">
        <v>240</v>
      </c>
      <c r="Q338" s="24" t="s">
        <v>241</v>
      </c>
      <c r="R338" s="26" t="s">
        <v>242</v>
      </c>
      <c r="S338" s="27" t="s">
        <v>243</v>
      </c>
      <c r="T338" s="129" t="s">
        <v>245</v>
      </c>
      <c r="U338" s="129" t="s">
        <v>272</v>
      </c>
      <c r="V338" s="129" t="s">
        <v>247</v>
      </c>
    </row>
    <row r="339" spans="2:22" x14ac:dyDescent="0.2">
      <c r="B339" s="29" t="str">
        <f t="shared" ref="B339:B345" si="11">B330</f>
        <v>Geen</v>
      </c>
      <c r="C339" s="18" t="s">
        <v>58</v>
      </c>
      <c r="D339" s="32">
        <v>0</v>
      </c>
      <c r="E339" s="32">
        <v>0</v>
      </c>
      <c r="F339" s="32">
        <v>0</v>
      </c>
      <c r="G339" s="32">
        <v>0</v>
      </c>
      <c r="I339" t="s">
        <v>327</v>
      </c>
      <c r="J339" s="49" t="s">
        <v>327</v>
      </c>
    </row>
    <row r="340" spans="2:22" x14ac:dyDescent="0.2">
      <c r="B340" s="29" t="str">
        <f t="shared" si="11"/>
        <v xml:space="preserve">Droogcontainers - passief drogen </v>
      </c>
      <c r="C340" s="18" t="s">
        <v>58</v>
      </c>
      <c r="D340" s="51">
        <v>0</v>
      </c>
      <c r="E340" s="50">
        <v>1</v>
      </c>
      <c r="F340" s="32">
        <v>1</v>
      </c>
      <c r="G340" s="50">
        <v>1</v>
      </c>
      <c r="H340" s="28"/>
      <c r="I340" s="18" t="s">
        <v>275</v>
      </c>
      <c r="J340" s="83">
        <v>2</v>
      </c>
      <c r="K340" t="s">
        <v>311</v>
      </c>
      <c r="L340" s="369">
        <v>1</v>
      </c>
      <c r="M340" t="s">
        <v>313</v>
      </c>
    </row>
    <row r="341" spans="2:22" x14ac:dyDescent="0.2">
      <c r="B341" s="29" t="str">
        <f t="shared" si="11"/>
        <v xml:space="preserve">Droogsysteem - actief drogen </v>
      </c>
      <c r="C341" s="18" t="s">
        <v>58</v>
      </c>
      <c r="D341" s="51">
        <v>0</v>
      </c>
      <c r="E341" s="50">
        <v>1</v>
      </c>
      <c r="F341" s="32">
        <v>0.95</v>
      </c>
      <c r="G341" s="50">
        <v>0.9</v>
      </c>
      <c r="I341" s="18" t="s">
        <v>275</v>
      </c>
      <c r="J341" s="83">
        <v>2</v>
      </c>
      <c r="K341" t="s">
        <v>311</v>
      </c>
      <c r="L341" s="134" t="s">
        <v>606</v>
      </c>
      <c r="M341" t="s">
        <v>313</v>
      </c>
    </row>
    <row r="342" spans="2:22" x14ac:dyDescent="0.2">
      <c r="B342" s="29" t="str">
        <f t="shared" si="11"/>
        <v xml:space="preserve">Grasdrogerij </v>
      </c>
      <c r="C342" s="18" t="s">
        <v>58</v>
      </c>
      <c r="D342" s="4">
        <v>0</v>
      </c>
      <c r="E342" s="50">
        <v>1</v>
      </c>
      <c r="F342" s="32">
        <v>0.9</v>
      </c>
      <c r="G342" s="50">
        <v>0.85</v>
      </c>
      <c r="I342" s="18" t="s">
        <v>275</v>
      </c>
      <c r="J342" s="83">
        <v>2</v>
      </c>
      <c r="K342" t="s">
        <v>311</v>
      </c>
      <c r="L342" s="134" t="s">
        <v>607</v>
      </c>
      <c r="M342" t="s">
        <v>313</v>
      </c>
    </row>
    <row r="343" spans="2:22" x14ac:dyDescent="0.2">
      <c r="B343" s="29" t="str">
        <f t="shared" si="11"/>
        <v>Bollendrogerij (lage temperatuur)</v>
      </c>
      <c r="C343" s="18" t="s">
        <v>58</v>
      </c>
      <c r="D343" s="4">
        <v>0</v>
      </c>
      <c r="E343" s="50">
        <v>0.9</v>
      </c>
      <c r="F343" s="32">
        <v>0.88</v>
      </c>
      <c r="G343" s="50">
        <v>0.86</v>
      </c>
      <c r="I343" s="28" t="s">
        <v>275</v>
      </c>
      <c r="J343" s="49">
        <v>2</v>
      </c>
      <c r="K343" t="s">
        <v>321</v>
      </c>
      <c r="L343" s="308" t="s">
        <v>533</v>
      </c>
      <c r="M343" t="s">
        <v>534</v>
      </c>
    </row>
    <row r="344" spans="2:22" x14ac:dyDescent="0.2">
      <c r="B344" s="29" t="str">
        <f t="shared" si="11"/>
        <v>Alternatief 1</v>
      </c>
      <c r="C344" s="18" t="s">
        <v>58</v>
      </c>
      <c r="D344" s="4">
        <v>0</v>
      </c>
      <c r="E344" s="32"/>
      <c r="F344" s="32"/>
      <c r="G344" s="50"/>
      <c r="I344" t="s">
        <v>327</v>
      </c>
      <c r="J344" s="49" t="s">
        <v>327</v>
      </c>
    </row>
    <row r="345" spans="2:22" x14ac:dyDescent="0.2">
      <c r="B345" s="29" t="str">
        <f t="shared" si="11"/>
        <v>Alternatief 2</v>
      </c>
      <c r="C345" s="18" t="s">
        <v>58</v>
      </c>
      <c r="D345" s="4">
        <v>0</v>
      </c>
      <c r="E345" s="32"/>
      <c r="F345" s="32"/>
      <c r="G345" s="50"/>
      <c r="I345" t="s">
        <v>327</v>
      </c>
      <c r="J345" s="49" t="s">
        <v>327</v>
      </c>
    </row>
    <row r="347" spans="2:22" x14ac:dyDescent="0.2">
      <c r="B347" s="23" t="s">
        <v>535</v>
      </c>
      <c r="C347" s="25" t="s">
        <v>248</v>
      </c>
      <c r="D347" s="25" t="s">
        <v>63</v>
      </c>
      <c r="E347" s="25" t="s">
        <v>52</v>
      </c>
      <c r="F347" s="25" t="s">
        <v>54</v>
      </c>
      <c r="G347" s="25" t="s">
        <v>51</v>
      </c>
      <c r="H347" s="24" t="s">
        <v>244</v>
      </c>
      <c r="I347" s="24" t="s">
        <v>270</v>
      </c>
      <c r="J347" s="278" t="s">
        <v>271</v>
      </c>
      <c r="K347" s="24" t="s">
        <v>235</v>
      </c>
      <c r="L347" s="26" t="s">
        <v>236</v>
      </c>
      <c r="M347" s="24" t="s">
        <v>237</v>
      </c>
      <c r="N347" s="24" t="s">
        <v>238</v>
      </c>
      <c r="O347" s="26" t="s">
        <v>239</v>
      </c>
      <c r="P347" s="24" t="s">
        <v>240</v>
      </c>
      <c r="Q347" s="24" t="s">
        <v>241</v>
      </c>
      <c r="R347" s="26" t="s">
        <v>242</v>
      </c>
      <c r="S347" s="27" t="s">
        <v>243</v>
      </c>
      <c r="T347" s="129" t="s">
        <v>245</v>
      </c>
      <c r="U347" s="129" t="s">
        <v>272</v>
      </c>
      <c r="V347" s="129" t="s">
        <v>247</v>
      </c>
    </row>
    <row r="348" spans="2:22" x14ac:dyDescent="0.2">
      <c r="B348" s="29" t="s">
        <v>63</v>
      </c>
      <c r="C348" s="29" t="s">
        <v>178</v>
      </c>
      <c r="D348" s="34">
        <v>0</v>
      </c>
      <c r="E348" s="34">
        <v>0</v>
      </c>
      <c r="F348" s="34">
        <v>0</v>
      </c>
      <c r="G348" s="34">
        <v>0</v>
      </c>
      <c r="I348" t="s">
        <v>327</v>
      </c>
      <c r="J348" s="49" t="s">
        <v>327</v>
      </c>
    </row>
    <row r="349" spans="2:22" x14ac:dyDescent="0.2">
      <c r="B349" s="29" t="s">
        <v>536</v>
      </c>
      <c r="C349" s="29" t="s">
        <v>178</v>
      </c>
      <c r="D349" s="39">
        <v>0</v>
      </c>
      <c r="E349" s="34">
        <v>10</v>
      </c>
      <c r="F349" s="34">
        <v>7.5</v>
      </c>
      <c r="G349" s="34">
        <v>5</v>
      </c>
      <c r="H349" s="28" t="s">
        <v>655</v>
      </c>
      <c r="I349" s="18" t="s">
        <v>275</v>
      </c>
      <c r="J349" s="83">
        <v>2</v>
      </c>
      <c r="K349" t="s">
        <v>311</v>
      </c>
      <c r="L349" s="157" t="s">
        <v>608</v>
      </c>
      <c r="M349" t="s">
        <v>313</v>
      </c>
    </row>
    <row r="350" spans="2:22" x14ac:dyDescent="0.2">
      <c r="B350" s="29" t="s">
        <v>177</v>
      </c>
      <c r="C350" s="29" t="s">
        <v>178</v>
      </c>
      <c r="D350" s="39">
        <v>0</v>
      </c>
      <c r="E350" s="34">
        <v>10</v>
      </c>
      <c r="F350" s="34">
        <v>7.5</v>
      </c>
      <c r="G350" s="34">
        <v>5</v>
      </c>
      <c r="H350" s="28"/>
      <c r="I350" s="18" t="s">
        <v>275</v>
      </c>
      <c r="J350" s="83">
        <v>2</v>
      </c>
      <c r="K350" t="s">
        <v>311</v>
      </c>
      <c r="L350" s="157" t="s">
        <v>608</v>
      </c>
      <c r="M350" t="s">
        <v>313</v>
      </c>
    </row>
    <row r="351" spans="2:22" x14ac:dyDescent="0.2">
      <c r="B351" s="29" t="s">
        <v>821</v>
      </c>
      <c r="C351" s="29" t="s">
        <v>178</v>
      </c>
      <c r="D351" s="39">
        <v>0</v>
      </c>
      <c r="E351" s="34">
        <v>10</v>
      </c>
      <c r="F351" s="34">
        <v>7.5</v>
      </c>
      <c r="G351" s="34">
        <v>5</v>
      </c>
      <c r="H351" s="28"/>
      <c r="I351" s="18" t="s">
        <v>275</v>
      </c>
      <c r="J351" s="83">
        <v>2</v>
      </c>
      <c r="K351" t="s">
        <v>311</v>
      </c>
      <c r="L351" s="157" t="s">
        <v>608</v>
      </c>
      <c r="M351" t="s">
        <v>313</v>
      </c>
    </row>
    <row r="352" spans="2:22" x14ac:dyDescent="0.2">
      <c r="B352" s="29" t="s">
        <v>184</v>
      </c>
      <c r="C352" s="21" t="s">
        <v>178</v>
      </c>
      <c r="D352" s="5">
        <v>0</v>
      </c>
      <c r="E352" s="34">
        <v>10</v>
      </c>
      <c r="F352" s="34">
        <v>7.5</v>
      </c>
      <c r="G352" s="34">
        <v>5</v>
      </c>
      <c r="H352" s="28"/>
      <c r="I352" s="18" t="s">
        <v>275</v>
      </c>
      <c r="J352" s="83">
        <v>2</v>
      </c>
      <c r="K352" t="s">
        <v>311</v>
      </c>
      <c r="L352" s="157" t="s">
        <v>608</v>
      </c>
      <c r="M352" t="s">
        <v>313</v>
      </c>
    </row>
    <row r="353" spans="2:22" x14ac:dyDescent="0.2">
      <c r="B353" s="29" t="s">
        <v>537</v>
      </c>
      <c r="C353" s="21" t="s">
        <v>178</v>
      </c>
      <c r="D353" s="5">
        <v>0</v>
      </c>
      <c r="E353" s="34">
        <v>25</v>
      </c>
      <c r="F353" s="34">
        <v>20</v>
      </c>
      <c r="G353" s="34">
        <v>15</v>
      </c>
      <c r="H353" s="28"/>
      <c r="I353" s="28" t="s">
        <v>275</v>
      </c>
      <c r="J353" s="83">
        <v>2</v>
      </c>
      <c r="K353" t="s">
        <v>311</v>
      </c>
      <c r="L353" s="157" t="s">
        <v>406</v>
      </c>
      <c r="M353" t="s">
        <v>313</v>
      </c>
    </row>
    <row r="354" spans="2:22" x14ac:dyDescent="0.2">
      <c r="B354" s="29" t="s">
        <v>538</v>
      </c>
      <c r="C354" s="21" t="s">
        <v>178</v>
      </c>
      <c r="D354" s="5">
        <v>0</v>
      </c>
      <c r="E354" s="34">
        <v>25</v>
      </c>
      <c r="F354" s="34">
        <v>20</v>
      </c>
      <c r="G354" s="34">
        <v>15</v>
      </c>
      <c r="H354" s="28"/>
      <c r="I354" s="18" t="s">
        <v>275</v>
      </c>
      <c r="J354" s="83">
        <v>2</v>
      </c>
      <c r="K354" t="s">
        <v>311</v>
      </c>
      <c r="L354" s="157" t="s">
        <v>406</v>
      </c>
      <c r="M354" t="s">
        <v>313</v>
      </c>
    </row>
    <row r="355" spans="2:22" x14ac:dyDescent="0.2">
      <c r="B355" s="29" t="s">
        <v>539</v>
      </c>
      <c r="C355" s="21" t="s">
        <v>178</v>
      </c>
      <c r="D355" s="5">
        <v>0</v>
      </c>
      <c r="E355" s="34">
        <v>22.5</v>
      </c>
      <c r="F355" s="34">
        <v>15</v>
      </c>
      <c r="G355" s="34">
        <v>10</v>
      </c>
      <c r="H355" s="28"/>
      <c r="I355" s="18" t="s">
        <v>275</v>
      </c>
      <c r="J355" s="83">
        <v>2</v>
      </c>
      <c r="K355" t="s">
        <v>311</v>
      </c>
      <c r="L355" s="157" t="s">
        <v>609</v>
      </c>
      <c r="M355" t="s">
        <v>313</v>
      </c>
    </row>
    <row r="356" spans="2:22" x14ac:dyDescent="0.2">
      <c r="B356" s="29" t="s">
        <v>540</v>
      </c>
      <c r="C356" s="21" t="s">
        <v>178</v>
      </c>
      <c r="D356" s="5">
        <v>0</v>
      </c>
      <c r="E356" s="34">
        <v>25</v>
      </c>
      <c r="F356" s="34">
        <v>17.5</v>
      </c>
      <c r="G356" s="34">
        <v>12.5</v>
      </c>
      <c r="H356" s="28"/>
      <c r="I356" s="18" t="s">
        <v>275</v>
      </c>
      <c r="J356" s="83">
        <v>2</v>
      </c>
      <c r="K356" t="s">
        <v>311</v>
      </c>
      <c r="L356" s="157" t="s">
        <v>610</v>
      </c>
      <c r="M356" t="s">
        <v>313</v>
      </c>
    </row>
    <row r="357" spans="2:22" x14ac:dyDescent="0.2">
      <c r="B357" s="29" t="s">
        <v>541</v>
      </c>
      <c r="C357" s="21" t="s">
        <v>178</v>
      </c>
      <c r="D357" s="5">
        <v>0</v>
      </c>
      <c r="E357" s="34">
        <v>27.5</v>
      </c>
      <c r="F357" s="34">
        <v>20</v>
      </c>
      <c r="G357" s="34">
        <v>15</v>
      </c>
      <c r="H357" s="28"/>
      <c r="I357" s="28" t="s">
        <v>275</v>
      </c>
      <c r="J357" s="83">
        <v>2</v>
      </c>
      <c r="K357" t="s">
        <v>311</v>
      </c>
      <c r="L357" s="157" t="s">
        <v>611</v>
      </c>
      <c r="M357" t="s">
        <v>313</v>
      </c>
    </row>
    <row r="358" spans="2:22" x14ac:dyDescent="0.2">
      <c r="B358" s="29" t="s">
        <v>542</v>
      </c>
      <c r="C358" s="21" t="s">
        <v>178</v>
      </c>
      <c r="D358" s="5">
        <v>0</v>
      </c>
      <c r="E358" s="34">
        <v>30</v>
      </c>
      <c r="F358" s="34">
        <v>22.5</v>
      </c>
      <c r="G358" s="34">
        <v>17.5</v>
      </c>
      <c r="H358" s="28"/>
      <c r="I358" s="18" t="s">
        <v>275</v>
      </c>
      <c r="J358" s="83">
        <v>2</v>
      </c>
      <c r="K358" t="s">
        <v>311</v>
      </c>
      <c r="L358" s="157" t="s">
        <v>612</v>
      </c>
      <c r="M358" t="s">
        <v>313</v>
      </c>
    </row>
    <row r="359" spans="2:22" x14ac:dyDescent="0.2">
      <c r="B359" s="29" t="s">
        <v>543</v>
      </c>
      <c r="C359" s="29" t="s">
        <v>178</v>
      </c>
      <c r="D359" s="5">
        <v>0</v>
      </c>
      <c r="E359" s="34">
        <v>165</v>
      </c>
      <c r="F359" s="34">
        <v>145</v>
      </c>
      <c r="G359" s="34">
        <v>125</v>
      </c>
      <c r="H359" s="28"/>
      <c r="I359" s="18" t="s">
        <v>466</v>
      </c>
      <c r="J359" s="46">
        <v>2</v>
      </c>
      <c r="K359" s="21" t="s">
        <v>485</v>
      </c>
      <c r="L359" s="368" t="s">
        <v>613</v>
      </c>
      <c r="M359" s="18" t="s">
        <v>263</v>
      </c>
    </row>
    <row r="360" spans="2:22" x14ac:dyDescent="0.2">
      <c r="B360" s="29" t="s">
        <v>414</v>
      </c>
      <c r="C360" s="29" t="s">
        <v>178</v>
      </c>
      <c r="D360" s="5">
        <v>0</v>
      </c>
      <c r="E360" s="34"/>
      <c r="F360" s="34"/>
      <c r="G360" s="34"/>
      <c r="I360" t="s">
        <v>327</v>
      </c>
      <c r="J360" s="49" t="s">
        <v>327</v>
      </c>
      <c r="L360" s="157"/>
    </row>
    <row r="361" spans="2:22" x14ac:dyDescent="0.2">
      <c r="B361" s="29" t="s">
        <v>415</v>
      </c>
      <c r="C361" s="29" t="s">
        <v>178</v>
      </c>
      <c r="D361" s="5">
        <v>0</v>
      </c>
      <c r="E361" s="34"/>
      <c r="F361" s="34"/>
      <c r="G361" s="34"/>
      <c r="I361" t="s">
        <v>327</v>
      </c>
      <c r="J361" s="49" t="s">
        <v>327</v>
      </c>
      <c r="L361" s="157"/>
    </row>
    <row r="362" spans="2:22" x14ac:dyDescent="0.2">
      <c r="B362" s="29" t="s">
        <v>544</v>
      </c>
      <c r="C362" s="29" t="s">
        <v>178</v>
      </c>
      <c r="D362" s="5">
        <v>0</v>
      </c>
      <c r="E362" s="34"/>
      <c r="F362" s="34"/>
      <c r="G362" s="34"/>
      <c r="I362" t="s">
        <v>327</v>
      </c>
      <c r="J362" s="49" t="s">
        <v>327</v>
      </c>
      <c r="L362" s="157"/>
    </row>
    <row r="364" spans="2:22" x14ac:dyDescent="0.2">
      <c r="B364" s="23" t="s">
        <v>545</v>
      </c>
      <c r="C364" s="25" t="s">
        <v>248</v>
      </c>
      <c r="D364" s="25" t="s">
        <v>63</v>
      </c>
      <c r="E364" s="25" t="s">
        <v>52</v>
      </c>
      <c r="F364" s="25" t="s">
        <v>54</v>
      </c>
      <c r="G364" s="25" t="s">
        <v>51</v>
      </c>
      <c r="H364" s="24" t="s">
        <v>244</v>
      </c>
      <c r="I364" s="24" t="s">
        <v>270</v>
      </c>
      <c r="J364" s="278" t="s">
        <v>271</v>
      </c>
      <c r="K364" s="24" t="s">
        <v>235</v>
      </c>
      <c r="L364" s="26" t="s">
        <v>236</v>
      </c>
      <c r="M364" s="24" t="s">
        <v>237</v>
      </c>
      <c r="N364" s="24" t="s">
        <v>238</v>
      </c>
      <c r="O364" s="26" t="s">
        <v>239</v>
      </c>
      <c r="P364" s="24" t="s">
        <v>240</v>
      </c>
      <c r="Q364" s="24" t="s">
        <v>241</v>
      </c>
      <c r="R364" s="26" t="s">
        <v>242</v>
      </c>
      <c r="S364" s="27" t="s">
        <v>243</v>
      </c>
      <c r="T364" s="129" t="s">
        <v>245</v>
      </c>
      <c r="U364" s="129" t="s">
        <v>272</v>
      </c>
      <c r="V364" s="129" t="s">
        <v>247</v>
      </c>
    </row>
    <row r="365" spans="2:22" x14ac:dyDescent="0.2">
      <c r="B365" s="29" t="str">
        <f t="shared" ref="B365:B379" si="12">B348</f>
        <v>Geen</v>
      </c>
      <c r="C365" s="18" t="s">
        <v>58</v>
      </c>
      <c r="D365" s="32">
        <v>0</v>
      </c>
      <c r="E365" s="34">
        <v>0</v>
      </c>
      <c r="F365" s="34">
        <v>0</v>
      </c>
      <c r="G365" s="34">
        <v>0</v>
      </c>
      <c r="I365" t="s">
        <v>327</v>
      </c>
      <c r="J365" s="49" t="s">
        <v>327</v>
      </c>
    </row>
    <row r="366" spans="2:22" x14ac:dyDescent="0.2">
      <c r="B366" s="29" t="str">
        <f t="shared" si="12"/>
        <v xml:space="preserve">Wassen </v>
      </c>
      <c r="C366" s="18" t="s">
        <v>58</v>
      </c>
      <c r="D366" s="51">
        <v>0</v>
      </c>
      <c r="E366" s="32">
        <v>1</v>
      </c>
      <c r="F366" s="32">
        <v>0.95</v>
      </c>
      <c r="G366" s="32">
        <v>0.9</v>
      </c>
      <c r="H366" s="28"/>
      <c r="I366" s="18" t="s">
        <v>275</v>
      </c>
      <c r="J366" s="83">
        <v>2</v>
      </c>
      <c r="K366" t="s">
        <v>311</v>
      </c>
      <c r="L366" s="134" t="s">
        <v>606</v>
      </c>
      <c r="M366" t="s">
        <v>313</v>
      </c>
    </row>
    <row r="367" spans="2:22" x14ac:dyDescent="0.2">
      <c r="B367" s="29" t="str">
        <f t="shared" si="12"/>
        <v xml:space="preserve">Verkleinen / malen / hakselen </v>
      </c>
      <c r="C367" s="18" t="s">
        <v>58</v>
      </c>
      <c r="D367" s="51">
        <v>0</v>
      </c>
      <c r="E367" s="32">
        <v>1</v>
      </c>
      <c r="F367" s="32">
        <v>0.95</v>
      </c>
      <c r="G367" s="32">
        <v>0.9</v>
      </c>
      <c r="I367" s="18" t="s">
        <v>275</v>
      </c>
      <c r="J367" s="83">
        <v>2</v>
      </c>
      <c r="K367" t="s">
        <v>311</v>
      </c>
      <c r="L367" s="134" t="s">
        <v>606</v>
      </c>
      <c r="M367" t="s">
        <v>313</v>
      </c>
    </row>
    <row r="368" spans="2:22" x14ac:dyDescent="0.2">
      <c r="B368" s="29" t="str">
        <f t="shared" si="12"/>
        <v>Snijden</v>
      </c>
      <c r="C368" s="18" t="s">
        <v>58</v>
      </c>
      <c r="D368" s="51">
        <v>0</v>
      </c>
      <c r="E368" s="32">
        <v>1</v>
      </c>
      <c r="F368" s="32">
        <v>0.95</v>
      </c>
      <c r="G368" s="32">
        <v>0.9</v>
      </c>
      <c r="I368" s="18" t="s">
        <v>275</v>
      </c>
      <c r="J368" s="83">
        <v>2</v>
      </c>
      <c r="K368" t="s">
        <v>311</v>
      </c>
      <c r="L368" s="134" t="s">
        <v>606</v>
      </c>
      <c r="M368" t="s">
        <v>313</v>
      </c>
    </row>
    <row r="369" spans="2:22" x14ac:dyDescent="0.2">
      <c r="B369" s="37" t="str">
        <f t="shared" ref="B369:B376" si="13">B352</f>
        <v>Zeven</v>
      </c>
      <c r="C369" s="18" t="s">
        <v>58</v>
      </c>
      <c r="D369" s="4">
        <v>0</v>
      </c>
      <c r="E369" s="32">
        <v>1</v>
      </c>
      <c r="F369" s="32">
        <v>0.95</v>
      </c>
      <c r="G369" s="32">
        <v>0.9</v>
      </c>
      <c r="I369" s="18" t="s">
        <v>275</v>
      </c>
      <c r="J369" s="83">
        <v>2</v>
      </c>
      <c r="K369" t="s">
        <v>311</v>
      </c>
      <c r="L369" s="134" t="s">
        <v>606</v>
      </c>
      <c r="M369" t="s">
        <v>313</v>
      </c>
    </row>
    <row r="370" spans="2:22" x14ac:dyDescent="0.2">
      <c r="B370" s="37" t="str">
        <f t="shared" si="13"/>
        <v>Mechanische scheiding</v>
      </c>
      <c r="C370" s="18" t="s">
        <v>58</v>
      </c>
      <c r="D370" s="4">
        <v>0</v>
      </c>
      <c r="E370" s="32">
        <v>1</v>
      </c>
      <c r="F370" s="32">
        <v>0.95</v>
      </c>
      <c r="G370" s="32">
        <v>0.9</v>
      </c>
      <c r="I370" s="28" t="s">
        <v>275</v>
      </c>
      <c r="J370" s="83">
        <v>2</v>
      </c>
      <c r="K370" t="s">
        <v>311</v>
      </c>
      <c r="L370" s="134" t="s">
        <v>606</v>
      </c>
      <c r="M370" t="s">
        <v>313</v>
      </c>
    </row>
    <row r="371" spans="2:22" x14ac:dyDescent="0.2">
      <c r="B371" s="37" t="str">
        <f t="shared" si="13"/>
        <v xml:space="preserve">Composteren </v>
      </c>
      <c r="C371" s="18" t="s">
        <v>58</v>
      </c>
      <c r="D371" s="4">
        <v>0</v>
      </c>
      <c r="E371" s="32">
        <v>1</v>
      </c>
      <c r="F371" s="32">
        <v>0.95</v>
      </c>
      <c r="G371" s="32">
        <v>0.9</v>
      </c>
      <c r="I371" s="18" t="s">
        <v>275</v>
      </c>
      <c r="J371" s="83">
        <v>2</v>
      </c>
      <c r="K371" t="s">
        <v>311</v>
      </c>
      <c r="L371" s="134" t="s">
        <v>606</v>
      </c>
      <c r="M371" t="s">
        <v>313</v>
      </c>
    </row>
    <row r="372" spans="2:22" x14ac:dyDescent="0.2">
      <c r="B372" s="37" t="str">
        <f t="shared" si="13"/>
        <v xml:space="preserve">Pasteuriseren </v>
      </c>
      <c r="C372" s="18" t="s">
        <v>58</v>
      </c>
      <c r="D372" s="4">
        <v>0</v>
      </c>
      <c r="E372" s="32">
        <v>1</v>
      </c>
      <c r="F372" s="32">
        <v>0.95</v>
      </c>
      <c r="G372" s="32">
        <v>0.9</v>
      </c>
      <c r="I372" s="18" t="s">
        <v>275</v>
      </c>
      <c r="J372" s="83">
        <v>2</v>
      </c>
      <c r="K372" t="s">
        <v>311</v>
      </c>
      <c r="L372" s="134" t="s">
        <v>606</v>
      </c>
      <c r="M372" t="s">
        <v>313</v>
      </c>
    </row>
    <row r="373" spans="2:22" x14ac:dyDescent="0.2">
      <c r="B373" s="37" t="str">
        <f t="shared" si="13"/>
        <v>Thermische ontsluiting</v>
      </c>
      <c r="C373" s="18" t="s">
        <v>58</v>
      </c>
      <c r="D373" s="4">
        <v>0</v>
      </c>
      <c r="E373" s="32">
        <v>1</v>
      </c>
      <c r="F373" s="32">
        <v>0.95</v>
      </c>
      <c r="G373" s="32">
        <v>0.9</v>
      </c>
      <c r="I373" s="18" t="s">
        <v>275</v>
      </c>
      <c r="J373" s="83">
        <v>2</v>
      </c>
      <c r="K373" t="s">
        <v>311</v>
      </c>
      <c r="L373" s="134" t="s">
        <v>606</v>
      </c>
      <c r="M373" t="s">
        <v>313</v>
      </c>
    </row>
    <row r="374" spans="2:22" x14ac:dyDescent="0.2">
      <c r="B374" s="37" t="str">
        <f t="shared" si="13"/>
        <v>Mechanische ontsluiting</v>
      </c>
      <c r="C374" s="18" t="s">
        <v>58</v>
      </c>
      <c r="D374" s="4">
        <v>0</v>
      </c>
      <c r="E374" s="32">
        <v>1</v>
      </c>
      <c r="F374" s="32">
        <v>0.95</v>
      </c>
      <c r="G374" s="32">
        <v>0.9</v>
      </c>
      <c r="I374" s="28" t="s">
        <v>275</v>
      </c>
      <c r="J374" s="83">
        <v>2</v>
      </c>
      <c r="K374" t="s">
        <v>311</v>
      </c>
      <c r="L374" s="134" t="s">
        <v>606</v>
      </c>
      <c r="M374" t="s">
        <v>313</v>
      </c>
    </row>
    <row r="375" spans="2:22" x14ac:dyDescent="0.2">
      <c r="B375" s="37" t="str">
        <f t="shared" si="13"/>
        <v xml:space="preserve">Biologische ontsluiting </v>
      </c>
      <c r="C375" s="18" t="s">
        <v>58</v>
      </c>
      <c r="D375" s="4">
        <v>0</v>
      </c>
      <c r="E375" s="32">
        <v>1</v>
      </c>
      <c r="F375" s="32">
        <v>0.95</v>
      </c>
      <c r="G375" s="32">
        <v>0.9</v>
      </c>
      <c r="I375" s="18" t="s">
        <v>275</v>
      </c>
      <c r="J375" s="83">
        <v>2</v>
      </c>
      <c r="K375" t="s">
        <v>311</v>
      </c>
      <c r="L375" s="134" t="s">
        <v>606</v>
      </c>
      <c r="M375" t="s">
        <v>313</v>
      </c>
    </row>
    <row r="376" spans="2:22" x14ac:dyDescent="0.2">
      <c r="B376" s="37" t="str">
        <f t="shared" si="13"/>
        <v>Impregneren</v>
      </c>
      <c r="C376" s="18" t="s">
        <v>58</v>
      </c>
      <c r="D376" s="4">
        <v>0</v>
      </c>
      <c r="E376" s="50">
        <v>1</v>
      </c>
      <c r="F376" s="32">
        <v>1</v>
      </c>
      <c r="G376" s="50">
        <v>1</v>
      </c>
      <c r="I376" s="18" t="s">
        <v>466</v>
      </c>
      <c r="J376" s="46">
        <v>2</v>
      </c>
      <c r="K376" s="21" t="s">
        <v>485</v>
      </c>
      <c r="L376" s="369">
        <v>1</v>
      </c>
      <c r="M376" s="18" t="s">
        <v>263</v>
      </c>
    </row>
    <row r="377" spans="2:22" x14ac:dyDescent="0.2">
      <c r="B377" s="37" t="str">
        <f t="shared" si="12"/>
        <v>Alternatief 1</v>
      </c>
      <c r="C377" s="18" t="s">
        <v>58</v>
      </c>
      <c r="D377" s="4">
        <v>0</v>
      </c>
      <c r="E377" s="32"/>
      <c r="F377" s="32"/>
      <c r="G377" s="32"/>
      <c r="I377" t="s">
        <v>327</v>
      </c>
      <c r="J377" s="49" t="s">
        <v>327</v>
      </c>
    </row>
    <row r="378" spans="2:22" x14ac:dyDescent="0.2">
      <c r="B378" s="37" t="str">
        <f t="shared" si="12"/>
        <v>Alternatief 2</v>
      </c>
      <c r="C378" s="18" t="s">
        <v>58</v>
      </c>
      <c r="D378" s="4">
        <v>0</v>
      </c>
      <c r="E378" s="32"/>
      <c r="F378" s="32"/>
      <c r="G378" s="32"/>
      <c r="I378" t="s">
        <v>327</v>
      </c>
      <c r="J378" s="49" t="s">
        <v>327</v>
      </c>
    </row>
    <row r="379" spans="2:22" x14ac:dyDescent="0.2">
      <c r="B379" s="37" t="str">
        <f t="shared" si="12"/>
        <v>Alternatief 3</v>
      </c>
      <c r="C379" s="18" t="s">
        <v>58</v>
      </c>
      <c r="D379" s="4">
        <v>0</v>
      </c>
      <c r="E379" s="32"/>
      <c r="F379" s="32"/>
      <c r="G379" s="50"/>
      <c r="I379" t="s">
        <v>327</v>
      </c>
      <c r="J379" s="49" t="s">
        <v>327</v>
      </c>
    </row>
    <row r="380" spans="2:22" x14ac:dyDescent="0.2">
      <c r="B380" s="37"/>
      <c r="C380" s="18"/>
      <c r="D380" s="4"/>
      <c r="E380" s="32"/>
      <c r="F380" s="32"/>
      <c r="G380" s="50"/>
      <c r="J380" s="49"/>
    </row>
    <row r="381" spans="2:22" x14ac:dyDescent="0.2">
      <c r="B381" s="23" t="s">
        <v>546</v>
      </c>
      <c r="C381" s="25" t="s">
        <v>248</v>
      </c>
      <c r="D381" s="25" t="s">
        <v>63</v>
      </c>
      <c r="E381" s="25" t="s">
        <v>52</v>
      </c>
      <c r="F381" s="25" t="s">
        <v>54</v>
      </c>
      <c r="G381" s="25" t="s">
        <v>51</v>
      </c>
      <c r="H381" s="24" t="s">
        <v>244</v>
      </c>
      <c r="I381" s="24" t="s">
        <v>270</v>
      </c>
      <c r="J381" s="278" t="s">
        <v>271</v>
      </c>
      <c r="K381" s="24" t="s">
        <v>235</v>
      </c>
      <c r="L381" s="26" t="s">
        <v>236</v>
      </c>
      <c r="M381" s="24" t="s">
        <v>237</v>
      </c>
      <c r="N381" s="24" t="s">
        <v>238</v>
      </c>
      <c r="O381" s="26" t="s">
        <v>239</v>
      </c>
      <c r="P381" s="24" t="s">
        <v>240</v>
      </c>
      <c r="Q381" s="24" t="s">
        <v>241</v>
      </c>
      <c r="R381" s="26" t="s">
        <v>242</v>
      </c>
      <c r="S381" s="27" t="s">
        <v>243</v>
      </c>
      <c r="T381" s="129" t="s">
        <v>245</v>
      </c>
      <c r="U381" s="129" t="s">
        <v>272</v>
      </c>
      <c r="V381" s="129" t="s">
        <v>247</v>
      </c>
    </row>
    <row r="382" spans="2:22" x14ac:dyDescent="0.2">
      <c r="B382" s="29" t="s">
        <v>2</v>
      </c>
      <c r="C382" s="29" t="s">
        <v>178</v>
      </c>
      <c r="D382" s="34">
        <v>0</v>
      </c>
      <c r="E382" s="34">
        <v>10</v>
      </c>
      <c r="F382" s="34">
        <v>5</v>
      </c>
      <c r="G382" s="34">
        <v>2.5</v>
      </c>
      <c r="I382" t="s">
        <v>275</v>
      </c>
      <c r="J382" s="49">
        <v>2</v>
      </c>
      <c r="K382" t="s">
        <v>311</v>
      </c>
      <c r="L382" s="157" t="s">
        <v>614</v>
      </c>
      <c r="M382" t="s">
        <v>313</v>
      </c>
    </row>
    <row r="383" spans="2:22" x14ac:dyDescent="0.2">
      <c r="B383" s="29" t="s">
        <v>176</v>
      </c>
      <c r="C383" s="29" t="s">
        <v>178</v>
      </c>
      <c r="D383" s="39">
        <v>0</v>
      </c>
      <c r="E383" s="309">
        <v>20</v>
      </c>
      <c r="F383" s="309">
        <v>10</v>
      </c>
      <c r="G383" s="309">
        <v>7.5</v>
      </c>
      <c r="I383" t="s">
        <v>275</v>
      </c>
      <c r="J383" s="49">
        <v>2</v>
      </c>
      <c r="K383" t="s">
        <v>311</v>
      </c>
      <c r="L383" s="157" t="s">
        <v>615</v>
      </c>
      <c r="M383" t="s">
        <v>313</v>
      </c>
    </row>
    <row r="384" spans="2:22" x14ac:dyDescent="0.2">
      <c r="B384" s="29"/>
      <c r="C384" s="29"/>
      <c r="D384" s="39"/>
      <c r="E384" s="309"/>
      <c r="F384" s="309"/>
      <c r="G384" s="309"/>
      <c r="J384" s="49"/>
      <c r="L384" s="157"/>
    </row>
    <row r="385" spans="2:22" x14ac:dyDescent="0.2">
      <c r="C385" s="18"/>
      <c r="D385" s="15"/>
      <c r="E385" s="15"/>
      <c r="F385" s="15"/>
      <c r="G385" s="15"/>
      <c r="H385" s="18"/>
      <c r="I385" s="18"/>
      <c r="J385" s="73"/>
      <c r="K385" s="18"/>
      <c r="L385" s="143"/>
      <c r="M385" s="18"/>
      <c r="N385" s="18"/>
      <c r="O385" s="143"/>
      <c r="P385" s="18"/>
      <c r="Q385" s="18"/>
      <c r="R385" s="143"/>
      <c r="S385" s="18"/>
      <c r="T385" s="18"/>
      <c r="U385" s="18"/>
      <c r="V385" s="18"/>
    </row>
    <row r="386" spans="2:22" ht="17" x14ac:dyDescent="0.2">
      <c r="B386" s="105" t="s">
        <v>222</v>
      </c>
      <c r="C386" s="97"/>
      <c r="D386" s="97"/>
      <c r="E386" s="97"/>
      <c r="F386" s="97"/>
      <c r="G386" s="97"/>
      <c r="H386" s="97"/>
      <c r="I386" s="97"/>
      <c r="J386" s="276"/>
      <c r="K386" s="97"/>
      <c r="L386" s="140"/>
      <c r="M386" s="97"/>
      <c r="N386" s="97"/>
      <c r="O386" s="140"/>
      <c r="P386" s="97"/>
      <c r="Q386" s="97"/>
      <c r="R386" s="140"/>
      <c r="S386" s="97"/>
      <c r="T386" s="97"/>
      <c r="U386" s="97"/>
      <c r="V386" s="97"/>
    </row>
    <row r="387" spans="2:22" x14ac:dyDescent="0.2">
      <c r="B387" s="1"/>
      <c r="C387" s="18"/>
      <c r="D387" s="15"/>
      <c r="E387" s="15"/>
      <c r="F387" s="15"/>
      <c r="G387" s="15"/>
      <c r="H387" s="18"/>
      <c r="I387" s="18"/>
      <c r="J387" s="73"/>
      <c r="K387" s="18"/>
      <c r="L387" s="143"/>
      <c r="M387" s="18"/>
      <c r="N387" s="18"/>
      <c r="O387" s="143"/>
      <c r="P387" s="18"/>
      <c r="Q387" s="18"/>
      <c r="R387" s="143"/>
      <c r="S387" s="18"/>
      <c r="T387" s="18"/>
      <c r="U387" s="18"/>
      <c r="V387" s="18"/>
    </row>
    <row r="388" spans="2:22" x14ac:dyDescent="0.2">
      <c r="B388" s="25" t="s">
        <v>222</v>
      </c>
      <c r="C388" s="75" t="s">
        <v>248</v>
      </c>
      <c r="D388" s="25" t="s">
        <v>63</v>
      </c>
      <c r="E388" s="25" t="s">
        <v>52</v>
      </c>
      <c r="F388" s="25" t="s">
        <v>54</v>
      </c>
      <c r="G388" s="25" t="s">
        <v>51</v>
      </c>
      <c r="H388" s="25" t="s">
        <v>244</v>
      </c>
      <c r="I388" s="71" t="s">
        <v>270</v>
      </c>
      <c r="J388" s="133" t="s">
        <v>271</v>
      </c>
      <c r="K388" s="71" t="s">
        <v>235</v>
      </c>
      <c r="L388" s="133" t="s">
        <v>236</v>
      </c>
      <c r="M388" s="71" t="s">
        <v>237</v>
      </c>
      <c r="N388" s="71" t="s">
        <v>238</v>
      </c>
      <c r="O388" s="133" t="s">
        <v>239</v>
      </c>
      <c r="P388" s="71" t="s">
        <v>240</v>
      </c>
      <c r="Q388" s="71" t="s">
        <v>241</v>
      </c>
      <c r="R388" s="133" t="s">
        <v>242</v>
      </c>
      <c r="S388" s="71" t="s">
        <v>243</v>
      </c>
      <c r="T388" s="131" t="s">
        <v>245</v>
      </c>
      <c r="U388" s="131" t="s">
        <v>272</v>
      </c>
      <c r="V388" s="131" t="s">
        <v>247</v>
      </c>
    </row>
    <row r="389" spans="2:22" x14ac:dyDescent="0.2">
      <c r="B389" t="s">
        <v>63</v>
      </c>
      <c r="C389" s="72" t="s">
        <v>48</v>
      </c>
      <c r="D389" s="15">
        <v>0</v>
      </c>
      <c r="E389" s="15">
        <v>0</v>
      </c>
      <c r="F389" s="15">
        <v>0</v>
      </c>
      <c r="G389" s="15">
        <v>0</v>
      </c>
      <c r="H389" s="25"/>
      <c r="I389" t="s">
        <v>327</v>
      </c>
      <c r="J389" s="49" t="s">
        <v>327</v>
      </c>
      <c r="K389" s="18"/>
      <c r="L389" s="143"/>
      <c r="M389" s="18"/>
      <c r="N389" s="18"/>
      <c r="O389" s="143"/>
      <c r="P389" s="18"/>
      <c r="Q389" s="18"/>
      <c r="R389" s="143"/>
      <c r="S389" s="18"/>
      <c r="T389" s="21"/>
      <c r="U389" s="21"/>
      <c r="V389" s="21"/>
    </row>
    <row r="390" spans="2:22" x14ac:dyDescent="0.2">
      <c r="B390" t="s">
        <v>645</v>
      </c>
      <c r="C390" s="72" t="s">
        <v>48</v>
      </c>
      <c r="D390" s="15">
        <v>0</v>
      </c>
      <c r="E390" s="15">
        <v>400</v>
      </c>
      <c r="F390" s="15">
        <v>200</v>
      </c>
      <c r="G390" s="15">
        <v>100</v>
      </c>
      <c r="H390" s="21" t="s">
        <v>697</v>
      </c>
      <c r="I390" s="29" t="s">
        <v>315</v>
      </c>
      <c r="J390" s="166">
        <v>1</v>
      </c>
      <c r="K390" t="s">
        <v>306</v>
      </c>
      <c r="L390" s="157" t="s">
        <v>692</v>
      </c>
      <c r="M390" t="s">
        <v>308</v>
      </c>
      <c r="N390" s="18"/>
      <c r="O390" s="143"/>
      <c r="P390" s="18"/>
      <c r="Q390" s="18"/>
      <c r="R390" s="143"/>
      <c r="S390" s="18"/>
      <c r="T390" s="21"/>
      <c r="U390" s="21"/>
      <c r="V390" s="21"/>
    </row>
    <row r="391" spans="2:22" x14ac:dyDescent="0.2">
      <c r="B391" t="s">
        <v>195</v>
      </c>
      <c r="C391" s="72" t="s">
        <v>48</v>
      </c>
      <c r="D391" s="15">
        <v>0</v>
      </c>
      <c r="E391" s="15">
        <v>100</v>
      </c>
      <c r="F391" s="15">
        <v>50</v>
      </c>
      <c r="G391" s="15">
        <v>25</v>
      </c>
      <c r="H391" s="18" t="s">
        <v>694</v>
      </c>
      <c r="I391" s="18" t="s">
        <v>315</v>
      </c>
      <c r="J391" s="83">
        <v>1</v>
      </c>
      <c r="K391" t="s">
        <v>306</v>
      </c>
      <c r="L391" s="143" t="s">
        <v>693</v>
      </c>
      <c r="M391" t="s">
        <v>308</v>
      </c>
      <c r="N391" s="18"/>
      <c r="O391" s="143"/>
      <c r="P391" s="18"/>
      <c r="Q391" s="18"/>
      <c r="R391" s="143"/>
      <c r="S391" s="18"/>
      <c r="T391" s="21"/>
      <c r="U391" s="21"/>
      <c r="V391" s="21"/>
    </row>
    <row r="392" spans="2:22" x14ac:dyDescent="0.2">
      <c r="B392" t="s">
        <v>547</v>
      </c>
      <c r="C392" s="72" t="s">
        <v>48</v>
      </c>
      <c r="D392" s="15">
        <v>0</v>
      </c>
      <c r="E392" s="15">
        <v>0</v>
      </c>
      <c r="F392" s="15">
        <v>0</v>
      </c>
      <c r="G392" s="15">
        <v>0</v>
      </c>
      <c r="H392" s="18" t="s">
        <v>696</v>
      </c>
      <c r="I392" t="s">
        <v>548</v>
      </c>
      <c r="J392" s="49">
        <v>1</v>
      </c>
      <c r="K392" t="s">
        <v>306</v>
      </c>
      <c r="L392" s="143" t="s">
        <v>695</v>
      </c>
      <c r="M392" t="s">
        <v>308</v>
      </c>
      <c r="N392" s="18"/>
      <c r="O392" s="143"/>
      <c r="P392" s="18"/>
      <c r="Q392" s="18"/>
      <c r="R392" s="143"/>
      <c r="S392" s="18"/>
      <c r="T392" s="21"/>
      <c r="U392" s="21"/>
      <c r="V392" s="21"/>
    </row>
    <row r="393" spans="2:22" x14ac:dyDescent="0.2">
      <c r="B393" t="s">
        <v>549</v>
      </c>
      <c r="C393" s="72" t="s">
        <v>48</v>
      </c>
      <c r="D393" s="15">
        <v>0</v>
      </c>
      <c r="E393" s="15"/>
      <c r="F393" s="15"/>
      <c r="G393" s="15"/>
      <c r="H393" s="18"/>
      <c r="I393" t="s">
        <v>327</v>
      </c>
      <c r="J393" s="49" t="s">
        <v>327</v>
      </c>
      <c r="K393" s="18"/>
      <c r="L393" s="143"/>
      <c r="M393" s="18"/>
      <c r="N393" s="18"/>
      <c r="O393" s="143"/>
      <c r="P393" s="18"/>
      <c r="Q393" s="18"/>
      <c r="R393" s="143"/>
      <c r="S393" s="18"/>
      <c r="T393" s="21"/>
      <c r="U393" s="21"/>
      <c r="V393" s="21"/>
    </row>
    <row r="394" spans="2:22" x14ac:dyDescent="0.2">
      <c r="B394" t="s">
        <v>550</v>
      </c>
      <c r="C394" s="72" t="s">
        <v>48</v>
      </c>
      <c r="D394" s="15">
        <v>0</v>
      </c>
      <c r="E394" s="15"/>
      <c r="F394" s="15"/>
      <c r="G394" s="15"/>
      <c r="H394" s="18"/>
      <c r="I394" t="s">
        <v>327</v>
      </c>
      <c r="J394" s="49" t="s">
        <v>327</v>
      </c>
      <c r="K394" s="18"/>
      <c r="L394" s="143"/>
      <c r="M394" s="18"/>
      <c r="N394" s="18"/>
      <c r="O394" s="143"/>
      <c r="P394" s="18"/>
      <c r="Q394" s="18"/>
      <c r="R394" s="143"/>
      <c r="S394" s="18"/>
      <c r="T394" s="21"/>
      <c r="U394" s="21"/>
      <c r="V394" s="21"/>
    </row>
    <row r="395" spans="2:22" x14ac:dyDescent="0.2">
      <c r="B395" s="1"/>
      <c r="C395" s="18"/>
      <c r="D395" s="15"/>
      <c r="E395" s="15"/>
      <c r="F395" s="15"/>
      <c r="G395" s="15"/>
      <c r="H395" s="18"/>
      <c r="I395" s="18"/>
      <c r="J395" s="73"/>
      <c r="K395" s="18"/>
      <c r="L395" s="143"/>
      <c r="M395" s="18"/>
      <c r="N395" s="18"/>
      <c r="O395" s="143"/>
      <c r="P395" s="18"/>
      <c r="Q395" s="18"/>
      <c r="R395" s="143"/>
      <c r="S395" s="18"/>
      <c r="T395" s="18"/>
      <c r="U395" s="18"/>
      <c r="V395" s="18"/>
    </row>
    <row r="396" spans="2:22" x14ac:dyDescent="0.2">
      <c r="B396" s="25" t="s">
        <v>551</v>
      </c>
      <c r="C396" s="75" t="s">
        <v>248</v>
      </c>
      <c r="D396" s="25" t="s">
        <v>63</v>
      </c>
      <c r="E396" s="25" t="s">
        <v>52</v>
      </c>
      <c r="F396" s="25" t="s">
        <v>54</v>
      </c>
      <c r="G396" s="25" t="s">
        <v>51</v>
      </c>
      <c r="H396" s="25" t="s">
        <v>244</v>
      </c>
      <c r="I396" s="71" t="s">
        <v>270</v>
      </c>
      <c r="J396" s="133" t="s">
        <v>271</v>
      </c>
      <c r="K396" s="71" t="s">
        <v>235</v>
      </c>
      <c r="L396" s="133" t="s">
        <v>236</v>
      </c>
      <c r="M396" s="71" t="s">
        <v>237</v>
      </c>
      <c r="N396" s="71" t="s">
        <v>238</v>
      </c>
      <c r="O396" s="133" t="s">
        <v>239</v>
      </c>
      <c r="P396" s="71" t="s">
        <v>240</v>
      </c>
      <c r="Q396" s="71" t="s">
        <v>241</v>
      </c>
      <c r="R396" s="133" t="s">
        <v>242</v>
      </c>
      <c r="S396" s="71" t="s">
        <v>243</v>
      </c>
      <c r="T396" s="131" t="s">
        <v>245</v>
      </c>
      <c r="U396" s="131" t="s">
        <v>272</v>
      </c>
      <c r="V396" s="131" t="s">
        <v>247</v>
      </c>
    </row>
    <row r="397" spans="2:22" x14ac:dyDescent="0.2">
      <c r="B397" t="s">
        <v>552</v>
      </c>
      <c r="C397" s="72" t="s">
        <v>200</v>
      </c>
      <c r="D397" s="15">
        <v>0</v>
      </c>
      <c r="E397" s="15">
        <v>60</v>
      </c>
      <c r="F397" s="15">
        <v>40</v>
      </c>
      <c r="G397" s="15">
        <v>20</v>
      </c>
      <c r="H397" s="25"/>
      <c r="I397" s="18" t="s">
        <v>348</v>
      </c>
      <c r="J397" s="46">
        <v>1</v>
      </c>
      <c r="K397" s="18" t="s">
        <v>553</v>
      </c>
      <c r="L397" s="282" t="s">
        <v>554</v>
      </c>
      <c r="M397" s="18" t="s">
        <v>555</v>
      </c>
      <c r="N397" s="18"/>
      <c r="O397" s="143"/>
      <c r="P397" s="18"/>
      <c r="Q397" s="18"/>
      <c r="R397" s="143"/>
      <c r="S397" s="18"/>
      <c r="T397" s="21"/>
      <c r="U397" s="21"/>
      <c r="V397" s="21"/>
    </row>
    <row r="398" spans="2:22" x14ac:dyDescent="0.2">
      <c r="C398" s="72"/>
      <c r="D398" s="15"/>
      <c r="E398" s="15"/>
      <c r="F398" s="15"/>
      <c r="G398" s="15"/>
      <c r="H398" s="25"/>
      <c r="I398" s="18"/>
      <c r="J398" s="46"/>
      <c r="K398" s="18"/>
      <c r="L398" s="282"/>
      <c r="M398" s="18"/>
      <c r="N398" s="18"/>
      <c r="O398" s="143"/>
      <c r="P398" s="18"/>
      <c r="Q398" s="18"/>
      <c r="R398" s="143"/>
      <c r="S398" s="18"/>
      <c r="T398" s="21"/>
      <c r="U398" s="21"/>
      <c r="V398" s="21"/>
    </row>
    <row r="399" spans="2:22" x14ac:dyDescent="0.2">
      <c r="B399" s="25" t="s">
        <v>556</v>
      </c>
      <c r="C399" s="75" t="s">
        <v>248</v>
      </c>
      <c r="D399" s="25" t="s">
        <v>63</v>
      </c>
      <c r="E399" s="25" t="s">
        <v>52</v>
      </c>
      <c r="F399" s="25" t="s">
        <v>54</v>
      </c>
      <c r="G399" s="25" t="s">
        <v>51</v>
      </c>
      <c r="H399" s="25" t="s">
        <v>244</v>
      </c>
      <c r="I399" s="71" t="s">
        <v>270</v>
      </c>
      <c r="J399" s="133" t="s">
        <v>271</v>
      </c>
      <c r="K399" s="71" t="s">
        <v>235</v>
      </c>
      <c r="L399" s="133" t="s">
        <v>236</v>
      </c>
      <c r="M399" s="71" t="s">
        <v>237</v>
      </c>
      <c r="N399" s="71" t="s">
        <v>238</v>
      </c>
      <c r="O399" s="133" t="s">
        <v>239</v>
      </c>
      <c r="P399" s="71" t="s">
        <v>240</v>
      </c>
      <c r="Q399" s="71" t="s">
        <v>241</v>
      </c>
      <c r="R399" s="133" t="s">
        <v>242</v>
      </c>
      <c r="S399" s="71" t="s">
        <v>243</v>
      </c>
      <c r="T399" s="131" t="s">
        <v>245</v>
      </c>
      <c r="U399" s="131" t="s">
        <v>272</v>
      </c>
      <c r="V399" s="131" t="s">
        <v>247</v>
      </c>
    </row>
    <row r="400" spans="2:22" x14ac:dyDescent="0.2">
      <c r="B400" t="s">
        <v>690</v>
      </c>
      <c r="C400" s="72" t="s">
        <v>48</v>
      </c>
      <c r="D400" s="15">
        <v>0</v>
      </c>
      <c r="E400" s="310">
        <v>275</v>
      </c>
      <c r="F400" s="310">
        <v>262.91000000000003</v>
      </c>
      <c r="G400" s="310">
        <v>200</v>
      </c>
      <c r="H400" s="18" t="s">
        <v>699</v>
      </c>
      <c r="I400" s="18" t="s">
        <v>290</v>
      </c>
      <c r="J400" s="46">
        <v>3</v>
      </c>
      <c r="K400" t="s">
        <v>302</v>
      </c>
      <c r="L400" s="143" t="s">
        <v>698</v>
      </c>
      <c r="M400" t="s">
        <v>335</v>
      </c>
      <c r="N400" s="18"/>
      <c r="O400" s="143"/>
      <c r="P400" s="18"/>
      <c r="Q400" s="18"/>
      <c r="R400" s="143"/>
      <c r="S400" s="18"/>
      <c r="T400" s="21"/>
      <c r="U400" s="21"/>
      <c r="V400" s="21"/>
    </row>
    <row r="401" spans="2:22" x14ac:dyDescent="0.2">
      <c r="B401" s="28" t="s">
        <v>691</v>
      </c>
      <c r="C401" s="72" t="s">
        <v>48</v>
      </c>
      <c r="D401" s="15">
        <v>0</v>
      </c>
      <c r="E401" s="15">
        <v>175</v>
      </c>
      <c r="F401" s="310">
        <v>113.7</v>
      </c>
      <c r="G401" s="15">
        <v>50</v>
      </c>
      <c r="H401" s="18" t="s">
        <v>699</v>
      </c>
      <c r="I401" s="18" t="s">
        <v>290</v>
      </c>
      <c r="J401" s="46">
        <v>3</v>
      </c>
      <c r="K401" t="s">
        <v>302</v>
      </c>
      <c r="L401" s="143" t="s">
        <v>689</v>
      </c>
      <c r="M401" t="s">
        <v>335</v>
      </c>
      <c r="N401" s="18"/>
      <c r="O401" s="143"/>
      <c r="P401" s="18"/>
      <c r="Q401" s="18"/>
      <c r="R401" s="143"/>
      <c r="S401" s="18"/>
      <c r="T401" s="21"/>
      <c r="U401" s="21"/>
      <c r="V401" s="21"/>
    </row>
    <row r="402" spans="2:22" x14ac:dyDescent="0.2">
      <c r="B402" t="s">
        <v>557</v>
      </c>
      <c r="C402" s="72" t="s">
        <v>48</v>
      </c>
      <c r="D402" s="15">
        <v>0</v>
      </c>
      <c r="E402" s="15">
        <v>2500</v>
      </c>
      <c r="F402" s="15">
        <v>2500</v>
      </c>
      <c r="G402" s="15">
        <v>2500</v>
      </c>
      <c r="H402" s="18"/>
      <c r="I402" s="18" t="s">
        <v>558</v>
      </c>
      <c r="J402" s="46">
        <v>1</v>
      </c>
      <c r="K402" s="18" t="s">
        <v>559</v>
      </c>
      <c r="L402" s="143">
        <v>2500</v>
      </c>
      <c r="M402" s="18" t="s">
        <v>560</v>
      </c>
      <c r="N402" s="18"/>
      <c r="O402" s="143"/>
      <c r="P402" s="18"/>
      <c r="Q402" s="18"/>
      <c r="R402" s="143"/>
      <c r="S402" s="18"/>
      <c r="T402" s="21"/>
      <c r="U402" s="21"/>
      <c r="V402" s="21"/>
    </row>
    <row r="403" spans="2:22" x14ac:dyDescent="0.2">
      <c r="B403" t="s">
        <v>561</v>
      </c>
      <c r="C403" s="72" t="s">
        <v>48</v>
      </c>
      <c r="D403" s="15">
        <v>0</v>
      </c>
      <c r="E403" s="15">
        <v>1500</v>
      </c>
      <c r="F403" s="15">
        <v>1500</v>
      </c>
      <c r="G403" s="15">
        <v>1500</v>
      </c>
      <c r="H403" s="18"/>
      <c r="I403" s="18" t="s">
        <v>558</v>
      </c>
      <c r="J403" s="46">
        <v>1</v>
      </c>
      <c r="K403" s="18" t="s">
        <v>559</v>
      </c>
      <c r="L403" s="143">
        <v>1500</v>
      </c>
      <c r="M403" s="18" t="s">
        <v>560</v>
      </c>
      <c r="N403" s="18"/>
      <c r="O403" s="143"/>
      <c r="P403" s="18"/>
      <c r="Q403" s="18"/>
      <c r="R403" s="143"/>
      <c r="S403" s="18"/>
      <c r="T403" s="21"/>
      <c r="U403" s="21"/>
      <c r="V403" s="21"/>
    </row>
    <row r="404" spans="2:22" x14ac:dyDescent="0.2">
      <c r="C404" s="72"/>
      <c r="D404" s="15"/>
      <c r="E404" s="15"/>
      <c r="F404" s="15"/>
      <c r="G404" s="15"/>
      <c r="H404" s="18"/>
      <c r="I404" s="18"/>
      <c r="J404" s="46"/>
      <c r="K404" s="18"/>
      <c r="L404" s="143"/>
      <c r="M404" s="18"/>
      <c r="N404" s="18"/>
      <c r="O404" s="143"/>
      <c r="P404" s="18"/>
      <c r="Q404" s="18"/>
      <c r="R404" s="143"/>
      <c r="S404" s="18"/>
      <c r="T404" s="21"/>
      <c r="U404" s="21"/>
      <c r="V404" s="21"/>
    </row>
    <row r="405" spans="2:22" x14ac:dyDescent="0.2">
      <c r="C405" s="72"/>
      <c r="D405" s="15"/>
      <c r="E405" s="15"/>
      <c r="F405" s="15"/>
      <c r="G405" s="15"/>
      <c r="H405" s="25"/>
      <c r="J405" s="49"/>
      <c r="K405" s="18"/>
      <c r="L405" s="143"/>
      <c r="M405" s="18"/>
      <c r="N405" s="18"/>
      <c r="O405" s="143"/>
      <c r="P405" s="18"/>
      <c r="Q405" s="18"/>
      <c r="R405" s="143"/>
      <c r="S405" s="18"/>
      <c r="T405" s="21"/>
      <c r="U405" s="21"/>
      <c r="V405" s="21"/>
    </row>
    <row r="406" spans="2:22" ht="17" x14ac:dyDescent="0.2">
      <c r="B406" s="105" t="s">
        <v>193</v>
      </c>
      <c r="C406" s="97"/>
      <c r="D406" s="97"/>
      <c r="E406" s="97"/>
      <c r="F406" s="97"/>
      <c r="G406" s="97"/>
      <c r="H406" s="97"/>
      <c r="I406" s="97"/>
      <c r="J406" s="276"/>
      <c r="K406" s="97"/>
      <c r="L406" s="140"/>
      <c r="M406" s="97"/>
      <c r="N406" s="97"/>
      <c r="O406" s="140"/>
      <c r="P406" s="97"/>
      <c r="Q406" s="97"/>
      <c r="R406" s="140"/>
      <c r="S406" s="97"/>
      <c r="T406" s="97"/>
      <c r="U406" s="97"/>
      <c r="V406" s="97"/>
    </row>
    <row r="407" spans="2:22" x14ac:dyDescent="0.2">
      <c r="B407" s="1"/>
      <c r="C407" s="18"/>
      <c r="D407" s="15"/>
      <c r="E407" s="15"/>
      <c r="F407" s="15"/>
      <c r="G407" s="15"/>
      <c r="H407" s="18"/>
      <c r="I407" s="18"/>
      <c r="J407" s="73"/>
      <c r="K407" s="18"/>
      <c r="L407" s="143"/>
      <c r="M407" s="18"/>
      <c r="N407" s="18"/>
      <c r="O407" s="143"/>
      <c r="P407" s="18"/>
      <c r="Q407" s="18"/>
      <c r="R407" s="143"/>
      <c r="S407" s="18"/>
      <c r="T407" s="18"/>
      <c r="U407" s="18"/>
      <c r="V407" s="18"/>
    </row>
    <row r="408" spans="2:22" x14ac:dyDescent="0.2">
      <c r="B408" s="25" t="s">
        <v>707</v>
      </c>
      <c r="C408" s="75" t="s">
        <v>248</v>
      </c>
      <c r="D408" s="25" t="s">
        <v>63</v>
      </c>
      <c r="E408" s="25" t="s">
        <v>52</v>
      </c>
      <c r="F408" s="25" t="s">
        <v>54</v>
      </c>
      <c r="G408" s="25" t="s">
        <v>51</v>
      </c>
      <c r="H408" s="25" t="s">
        <v>244</v>
      </c>
      <c r="I408" s="71" t="s">
        <v>270</v>
      </c>
      <c r="J408" s="133" t="s">
        <v>271</v>
      </c>
      <c r="K408" s="71" t="s">
        <v>235</v>
      </c>
      <c r="L408" s="133" t="s">
        <v>236</v>
      </c>
      <c r="M408" s="71" t="s">
        <v>237</v>
      </c>
      <c r="N408" s="71" t="s">
        <v>238</v>
      </c>
      <c r="O408" s="133" t="s">
        <v>239</v>
      </c>
      <c r="P408" s="71" t="s">
        <v>240</v>
      </c>
      <c r="Q408" s="71" t="s">
        <v>241</v>
      </c>
      <c r="R408" s="133" t="s">
        <v>242</v>
      </c>
      <c r="S408" s="71" t="s">
        <v>243</v>
      </c>
      <c r="T408" s="131" t="s">
        <v>245</v>
      </c>
      <c r="U408" s="131" t="s">
        <v>272</v>
      </c>
      <c r="V408" s="131" t="s">
        <v>247</v>
      </c>
    </row>
    <row r="409" spans="2:22" x14ac:dyDescent="0.2">
      <c r="B409" t="s">
        <v>63</v>
      </c>
      <c r="C409" s="72" t="s">
        <v>48</v>
      </c>
      <c r="D409" s="15">
        <v>0</v>
      </c>
      <c r="E409" s="15">
        <v>0</v>
      </c>
      <c r="F409" s="15">
        <v>0</v>
      </c>
      <c r="G409" s="15">
        <v>0</v>
      </c>
      <c r="H409" s="18"/>
      <c r="I409" t="s">
        <v>327</v>
      </c>
      <c r="J409" s="49" t="s">
        <v>327</v>
      </c>
      <c r="K409" s="18"/>
      <c r="L409" s="143"/>
      <c r="M409" s="18"/>
      <c r="N409" s="18"/>
      <c r="O409" s="143"/>
      <c r="P409" s="18"/>
      <c r="Q409" s="18"/>
      <c r="R409" s="143"/>
      <c r="S409" s="18"/>
      <c r="T409" s="21"/>
      <c r="U409" s="21"/>
      <c r="V409" s="21"/>
    </row>
    <row r="410" spans="2:22" x14ac:dyDescent="0.2">
      <c r="B410" t="s">
        <v>196</v>
      </c>
      <c r="C410" s="72" t="s">
        <v>48</v>
      </c>
      <c r="D410" s="15">
        <v>0</v>
      </c>
      <c r="E410" s="15">
        <v>2160</v>
      </c>
      <c r="F410" s="15">
        <v>744</v>
      </c>
      <c r="G410" s="15">
        <v>161</v>
      </c>
      <c r="H410" s="18" t="s">
        <v>701</v>
      </c>
      <c r="I410" s="18" t="s">
        <v>562</v>
      </c>
      <c r="J410" s="83">
        <v>2</v>
      </c>
      <c r="K410" t="s">
        <v>627</v>
      </c>
      <c r="L410" s="143" t="s">
        <v>700</v>
      </c>
      <c r="M410" s="18" t="s">
        <v>628</v>
      </c>
      <c r="N410" s="18"/>
      <c r="O410" s="143"/>
      <c r="P410" s="18"/>
      <c r="Q410" s="18"/>
      <c r="R410" s="143"/>
      <c r="S410" s="18"/>
      <c r="T410" s="21"/>
      <c r="U410" s="21"/>
      <c r="V410" s="21"/>
    </row>
    <row r="411" spans="2:22" x14ac:dyDescent="0.2">
      <c r="B411" t="s">
        <v>197</v>
      </c>
      <c r="C411" s="72" t="s">
        <v>48</v>
      </c>
      <c r="D411" s="15">
        <v>0</v>
      </c>
      <c r="E411" s="15">
        <f>6000-E401-E400-$D$70-1000</f>
        <v>3836</v>
      </c>
      <c r="F411" s="15">
        <f>5000-F401-F400-$D$70-1000</f>
        <v>2909.3900000000003</v>
      </c>
      <c r="G411" s="15">
        <f>4000-G401-G400-$D$70-1000</f>
        <v>2036</v>
      </c>
      <c r="H411" s="18" t="s">
        <v>703</v>
      </c>
      <c r="I411" s="18" t="s">
        <v>315</v>
      </c>
      <c r="J411" s="83">
        <v>1</v>
      </c>
      <c r="K411" s="21" t="s">
        <v>704</v>
      </c>
      <c r="L411" s="143" t="s">
        <v>705</v>
      </c>
      <c r="M411" t="s">
        <v>706</v>
      </c>
      <c r="N411" s="18"/>
      <c r="O411" s="143"/>
      <c r="P411" s="18"/>
      <c r="Q411" s="18"/>
      <c r="R411" s="143"/>
      <c r="S411" s="18"/>
      <c r="T411" s="21"/>
      <c r="U411" s="21"/>
      <c r="V411" s="21"/>
    </row>
    <row r="412" spans="2:22" x14ac:dyDescent="0.2">
      <c r="B412" t="s">
        <v>194</v>
      </c>
      <c r="C412" s="72" t="s">
        <v>48</v>
      </c>
      <c r="D412" s="15">
        <v>0</v>
      </c>
      <c r="E412" s="15">
        <f>1.15*F412</f>
        <v>1407.1556350626117</v>
      </c>
      <c r="F412" s="15">
        <f>68400/55.9</f>
        <v>1223.613595706619</v>
      </c>
      <c r="G412" s="15">
        <f>0.84*F412</f>
        <v>1027.8354203935598</v>
      </c>
      <c r="H412" s="18" t="s">
        <v>741</v>
      </c>
      <c r="I412" s="18" t="s">
        <v>275</v>
      </c>
      <c r="J412" s="46">
        <v>2</v>
      </c>
      <c r="K412" t="s">
        <v>627</v>
      </c>
      <c r="L412" s="143" t="s">
        <v>629</v>
      </c>
      <c r="M412" s="18" t="s">
        <v>628</v>
      </c>
      <c r="N412" s="18"/>
      <c r="O412" s="143"/>
      <c r="P412" s="18"/>
      <c r="Q412" s="18"/>
      <c r="R412" s="143"/>
      <c r="S412" s="18"/>
      <c r="T412" s="21"/>
      <c r="U412" s="21"/>
      <c r="V412" s="21"/>
    </row>
    <row r="413" spans="2:22" x14ac:dyDescent="0.2">
      <c r="B413" t="s">
        <v>549</v>
      </c>
      <c r="C413" s="72" t="s">
        <v>48</v>
      </c>
      <c r="D413" s="15">
        <v>0</v>
      </c>
      <c r="E413" s="15"/>
      <c r="F413" s="15"/>
      <c r="G413" s="15"/>
      <c r="H413" s="18"/>
      <c r="I413" t="s">
        <v>327</v>
      </c>
      <c r="J413" s="49" t="s">
        <v>327</v>
      </c>
      <c r="K413" s="18"/>
      <c r="L413" s="143"/>
      <c r="M413" s="18"/>
      <c r="N413" s="18"/>
      <c r="O413" s="143"/>
      <c r="P413" s="18"/>
      <c r="Q413" s="18"/>
      <c r="R413" s="143"/>
      <c r="S413" s="18"/>
      <c r="T413" s="21"/>
      <c r="U413" s="21"/>
      <c r="V413" s="21"/>
    </row>
    <row r="414" spans="2:22" x14ac:dyDescent="0.2">
      <c r="B414" t="s">
        <v>550</v>
      </c>
      <c r="C414" s="72" t="s">
        <v>48</v>
      </c>
      <c r="D414" s="15">
        <v>0</v>
      </c>
      <c r="E414" s="15"/>
      <c r="F414" s="15"/>
      <c r="G414" s="15"/>
      <c r="H414" s="18"/>
      <c r="I414" t="s">
        <v>327</v>
      </c>
      <c r="J414" s="49" t="s">
        <v>327</v>
      </c>
      <c r="K414" s="18"/>
      <c r="L414" s="143"/>
      <c r="M414" s="18"/>
      <c r="N414" s="18"/>
      <c r="O414" s="143"/>
      <c r="P414" s="18"/>
      <c r="Q414" s="18"/>
      <c r="R414" s="143"/>
      <c r="S414" s="18"/>
      <c r="T414" s="21"/>
      <c r="U414" s="21"/>
      <c r="V414" s="21"/>
    </row>
    <row r="415" spans="2:22" x14ac:dyDescent="0.2">
      <c r="B415" t="s">
        <v>563</v>
      </c>
      <c r="C415" s="72" t="s">
        <v>48</v>
      </c>
      <c r="D415" s="15">
        <v>0</v>
      </c>
      <c r="E415" s="15"/>
      <c r="F415" s="15"/>
      <c r="G415" s="15"/>
      <c r="H415" s="18"/>
      <c r="I415" t="s">
        <v>327</v>
      </c>
      <c r="J415" s="49" t="s">
        <v>327</v>
      </c>
      <c r="K415" s="18"/>
      <c r="L415" s="143"/>
      <c r="M415" s="18"/>
      <c r="N415" s="18"/>
      <c r="O415" s="143"/>
      <c r="P415" s="18"/>
      <c r="Q415" s="18"/>
      <c r="R415" s="143"/>
      <c r="S415" s="18"/>
      <c r="T415" s="21"/>
      <c r="U415" s="21"/>
      <c r="V415" s="21"/>
    </row>
    <row r="416" spans="2:22" x14ac:dyDescent="0.2">
      <c r="B416" t="s">
        <v>564</v>
      </c>
      <c r="C416" s="72" t="s">
        <v>48</v>
      </c>
      <c r="D416" s="15">
        <v>0</v>
      </c>
      <c r="E416" s="15"/>
      <c r="F416" s="15"/>
      <c r="G416" s="15"/>
      <c r="H416" s="18"/>
      <c r="I416" t="s">
        <v>327</v>
      </c>
      <c r="J416" s="49" t="s">
        <v>327</v>
      </c>
      <c r="K416" s="18"/>
      <c r="L416" s="143"/>
      <c r="M416" s="18"/>
      <c r="N416" s="18"/>
      <c r="O416" s="143"/>
      <c r="P416" s="18"/>
      <c r="Q416" s="18"/>
      <c r="R416" s="143"/>
      <c r="S416" s="18"/>
      <c r="T416" s="21"/>
      <c r="U416" s="21"/>
      <c r="V416" s="21"/>
    </row>
    <row r="417" spans="2:22" x14ac:dyDescent="0.2">
      <c r="B417" t="s">
        <v>565</v>
      </c>
      <c r="C417" s="72" t="s">
        <v>48</v>
      </c>
      <c r="D417" s="15">
        <v>0</v>
      </c>
      <c r="E417" s="15"/>
      <c r="F417" s="15"/>
      <c r="G417" s="15"/>
      <c r="H417" s="18"/>
      <c r="I417" t="s">
        <v>327</v>
      </c>
      <c r="J417" s="49" t="s">
        <v>327</v>
      </c>
      <c r="K417" s="18"/>
      <c r="L417" s="143"/>
      <c r="M417" s="18"/>
      <c r="N417" s="18"/>
      <c r="O417" s="143"/>
      <c r="P417" s="18"/>
      <c r="Q417" s="18"/>
      <c r="R417" s="143"/>
      <c r="S417" s="18"/>
      <c r="T417" s="21"/>
      <c r="U417" s="21"/>
      <c r="V417" s="21"/>
    </row>
    <row r="418" spans="2:22" x14ac:dyDescent="0.2">
      <c r="B418" t="s">
        <v>566</v>
      </c>
      <c r="C418" s="72" t="s">
        <v>48</v>
      </c>
      <c r="D418" s="15">
        <v>0</v>
      </c>
      <c r="E418" s="15"/>
      <c r="F418" s="15"/>
      <c r="G418" s="15"/>
      <c r="H418" s="18"/>
      <c r="I418" t="s">
        <v>327</v>
      </c>
      <c r="J418" s="49" t="s">
        <v>327</v>
      </c>
      <c r="K418" s="18"/>
      <c r="L418" s="143"/>
      <c r="M418" s="18"/>
      <c r="N418" s="18"/>
      <c r="O418" s="143"/>
      <c r="P418" s="18"/>
      <c r="Q418" s="18"/>
      <c r="R418" s="143"/>
      <c r="S418" s="18"/>
      <c r="T418" s="21"/>
      <c r="U418" s="21"/>
      <c r="V418" s="21"/>
    </row>
    <row r="420" spans="2:22" x14ac:dyDescent="0.2">
      <c r="B420" s="25" t="s">
        <v>764</v>
      </c>
      <c r="C420" s="75" t="s">
        <v>248</v>
      </c>
      <c r="D420" s="25" t="s">
        <v>63</v>
      </c>
      <c r="E420" s="25" t="s">
        <v>52</v>
      </c>
      <c r="F420" s="25" t="s">
        <v>54</v>
      </c>
      <c r="G420" s="25" t="s">
        <v>51</v>
      </c>
      <c r="H420" s="25" t="s">
        <v>244</v>
      </c>
      <c r="I420" s="71" t="s">
        <v>270</v>
      </c>
      <c r="J420" s="133" t="s">
        <v>271</v>
      </c>
      <c r="K420" s="71" t="s">
        <v>235</v>
      </c>
      <c r="L420" s="133" t="s">
        <v>236</v>
      </c>
      <c r="M420" s="71" t="s">
        <v>237</v>
      </c>
      <c r="N420" s="71" t="s">
        <v>238</v>
      </c>
      <c r="O420" s="133" t="s">
        <v>239</v>
      </c>
      <c r="P420" s="71" t="s">
        <v>240</v>
      </c>
      <c r="Q420" s="71" t="s">
        <v>241</v>
      </c>
      <c r="R420" s="133" t="s">
        <v>242</v>
      </c>
      <c r="S420" s="71" t="s">
        <v>243</v>
      </c>
      <c r="T420" s="131" t="s">
        <v>245</v>
      </c>
      <c r="U420" s="131" t="s">
        <v>272</v>
      </c>
      <c r="V420" s="131" t="s">
        <v>247</v>
      </c>
    </row>
    <row r="421" spans="2:22" x14ac:dyDescent="0.2">
      <c r="B421" t="s">
        <v>210</v>
      </c>
      <c r="C421" s="72" t="s">
        <v>48</v>
      </c>
      <c r="D421" s="15">
        <v>0</v>
      </c>
      <c r="E421" s="15">
        <f>1.15*F421</f>
        <v>1407.1556350626117</v>
      </c>
      <c r="F421" s="15">
        <f>68400/55.9</f>
        <v>1223.613595706619</v>
      </c>
      <c r="G421" s="15">
        <f>0.84*F421</f>
        <v>1027.8354203935598</v>
      </c>
      <c r="H421" s="18" t="s">
        <v>702</v>
      </c>
      <c r="I421" s="18" t="s">
        <v>275</v>
      </c>
      <c r="J421" s="46">
        <v>2</v>
      </c>
      <c r="K421" t="s">
        <v>627</v>
      </c>
      <c r="L421" s="143" t="s">
        <v>629</v>
      </c>
      <c r="M421" s="18" t="s">
        <v>628</v>
      </c>
      <c r="N421" s="18"/>
      <c r="O421" s="143"/>
      <c r="P421" s="18"/>
      <c r="Q421" s="18"/>
      <c r="R421" s="143"/>
      <c r="S421" s="18"/>
      <c r="T421" s="21"/>
      <c r="U421" s="21"/>
      <c r="V421" s="21"/>
    </row>
    <row r="422" spans="2:22" x14ac:dyDescent="0.2">
      <c r="C422" s="72"/>
      <c r="D422" s="15"/>
      <c r="E422" s="15"/>
      <c r="F422" s="15"/>
      <c r="G422" s="15"/>
      <c r="H422" s="18"/>
      <c r="J422" s="49"/>
      <c r="K422" s="18"/>
      <c r="L422" s="143"/>
      <c r="M422" s="18"/>
      <c r="N422" s="18"/>
      <c r="O422" s="143"/>
      <c r="P422" s="18"/>
      <c r="Q422" s="18"/>
      <c r="R422" s="143"/>
      <c r="S422" s="18"/>
      <c r="T422" s="21"/>
      <c r="U422" s="21"/>
      <c r="V422" s="21"/>
    </row>
  </sheetData>
  <phoneticPr fontId="10" type="noConversion"/>
  <conditionalFormatting sqref="J130:J132">
    <cfRule type="iconSet" priority="323">
      <iconSet showValue="0">
        <cfvo type="percent" val="0"/>
        <cfvo type="num" val="2"/>
        <cfvo type="num" val="3"/>
      </iconSet>
    </cfRule>
  </conditionalFormatting>
  <conditionalFormatting sqref="J135">
    <cfRule type="iconSet" priority="322">
      <iconSet showValue="0">
        <cfvo type="percent" val="0"/>
        <cfvo type="num" val="2"/>
        <cfvo type="num" val="3"/>
      </iconSet>
    </cfRule>
  </conditionalFormatting>
  <conditionalFormatting sqref="J179 J186:J187">
    <cfRule type="iconSet" priority="319">
      <iconSet showValue="0">
        <cfvo type="percent" val="0"/>
        <cfvo type="num" val="2"/>
        <cfvo type="num" val="3"/>
      </iconSet>
    </cfRule>
  </conditionalFormatting>
  <conditionalFormatting sqref="J207 J211:J212">
    <cfRule type="iconSet" priority="318">
      <iconSet showValue="0">
        <cfvo type="percent" val="0"/>
        <cfvo type="num" val="2"/>
        <cfvo type="num" val="3"/>
      </iconSet>
    </cfRule>
  </conditionalFormatting>
  <conditionalFormatting sqref="J232:J234">
    <cfRule type="iconSet" priority="315">
      <iconSet showValue="0">
        <cfvo type="percent" val="0"/>
        <cfvo type="num" val="2"/>
        <cfvo type="num" val="3"/>
      </iconSet>
    </cfRule>
  </conditionalFormatting>
  <conditionalFormatting sqref="J259:J260 J255">
    <cfRule type="iconSet" priority="314">
      <iconSet showValue="0">
        <cfvo type="percent" val="0"/>
        <cfvo type="num" val="2"/>
        <cfvo type="num" val="3"/>
      </iconSet>
    </cfRule>
  </conditionalFormatting>
  <conditionalFormatting sqref="J240:J242">
    <cfRule type="iconSet" priority="313">
      <iconSet showValue="0">
        <cfvo type="percent" val="0"/>
        <cfvo type="num" val="2"/>
        <cfvo type="num" val="3"/>
      </iconSet>
    </cfRule>
  </conditionalFormatting>
  <conditionalFormatting sqref="J274:J276 J267 J272">
    <cfRule type="iconSet" priority="312">
      <iconSet showValue="0">
        <cfvo type="percent" val="0"/>
        <cfvo type="num" val="2"/>
        <cfvo type="num" val="3"/>
      </iconSet>
    </cfRule>
  </conditionalFormatting>
  <conditionalFormatting sqref="J105">
    <cfRule type="iconSet" priority="306">
      <iconSet showValue="0">
        <cfvo type="percent" val="0"/>
        <cfvo type="num" val="2"/>
        <cfvo type="num" val="3"/>
      </iconSet>
    </cfRule>
  </conditionalFormatting>
  <conditionalFormatting sqref="J162">
    <cfRule type="iconSet" priority="336">
      <iconSet showValue="0">
        <cfvo type="percent" val="0"/>
        <cfvo type="num" val="2"/>
        <cfvo type="num" val="3"/>
      </iconSet>
    </cfRule>
  </conditionalFormatting>
  <conditionalFormatting sqref="J169">
    <cfRule type="iconSet" priority="337">
      <iconSet showValue="0">
        <cfvo type="percent" val="0"/>
        <cfvo type="num" val="2"/>
        <cfvo type="num" val="3"/>
      </iconSet>
    </cfRule>
  </conditionalFormatting>
  <conditionalFormatting sqref="J385 J387">
    <cfRule type="iconSet" priority="298">
      <iconSet showValue="0">
        <cfvo type="percent" val="0"/>
        <cfvo type="num" val="2"/>
        <cfvo type="num" val="3"/>
      </iconSet>
    </cfRule>
  </conditionalFormatting>
  <conditionalFormatting sqref="J321 J324:J327">
    <cfRule type="iconSet" priority="295">
      <iconSet showValue="0">
        <cfvo type="percent" val="0"/>
        <cfvo type="num" val="2"/>
        <cfvo type="num" val="3"/>
      </iconSet>
    </cfRule>
  </conditionalFormatting>
  <conditionalFormatting sqref="J330 J334">
    <cfRule type="iconSet" priority="294">
      <iconSet showValue="0">
        <cfvo type="percent" val="0"/>
        <cfvo type="num" val="2"/>
        <cfvo type="num" val="3"/>
      </iconSet>
    </cfRule>
  </conditionalFormatting>
  <conditionalFormatting sqref="J339">
    <cfRule type="iconSet" priority="293">
      <iconSet showValue="0">
        <cfvo type="percent" val="0"/>
        <cfvo type="num" val="2"/>
        <cfvo type="num" val="3"/>
      </iconSet>
    </cfRule>
  </conditionalFormatting>
  <conditionalFormatting sqref="J380">
    <cfRule type="iconSet" priority="291">
      <iconSet showValue="0">
        <cfvo type="percent" val="0"/>
        <cfvo type="num" val="2"/>
        <cfvo type="num" val="3"/>
      </iconSet>
    </cfRule>
  </conditionalFormatting>
  <conditionalFormatting sqref="J315:J316 J299">
    <cfRule type="iconSet" priority="300">
      <iconSet showValue="0">
        <cfvo type="percent" val="0"/>
        <cfvo type="num" val="2"/>
        <cfvo type="num" val="3"/>
      </iconSet>
    </cfRule>
  </conditionalFormatting>
  <conditionalFormatting sqref="J407">
    <cfRule type="iconSet" priority="283">
      <iconSet showValue="0">
        <cfvo type="percent" val="0"/>
        <cfvo type="num" val="2"/>
        <cfvo type="num" val="3"/>
      </iconSet>
    </cfRule>
  </conditionalFormatting>
  <conditionalFormatting sqref="J281">
    <cfRule type="iconSet" priority="277">
      <iconSet showValue="0">
        <cfvo type="percent" val="0"/>
        <cfvo type="num" val="2"/>
        <cfvo type="num" val="3"/>
      </iconSet>
    </cfRule>
  </conditionalFormatting>
  <conditionalFormatting sqref="K316:M316">
    <cfRule type="iconSet" priority="341">
      <iconSet showValue="0">
        <cfvo type="percent" val="0"/>
        <cfvo type="num" val="2"/>
        <cfvo type="num" val="3"/>
      </iconSet>
    </cfRule>
  </conditionalFormatting>
  <conditionalFormatting sqref="K316:M316 K299:M299">
    <cfRule type="iconSet" priority="342">
      <iconSet showValue="0">
        <cfvo type="percent" val="0"/>
        <cfvo type="num" val="2"/>
        <cfvo type="num" val="3"/>
      </iconSet>
    </cfRule>
  </conditionalFormatting>
  <conditionalFormatting sqref="J80">
    <cfRule type="iconSet" priority="275">
      <iconSet showValue="0">
        <cfvo type="percent" val="0"/>
        <cfvo type="num" val="2"/>
        <cfvo type="num" val="3"/>
      </iconSet>
    </cfRule>
  </conditionalFormatting>
  <conditionalFormatting sqref="J100">
    <cfRule type="iconSet" priority="273">
      <iconSet showValue="0">
        <cfvo type="percent" val="0"/>
        <cfvo type="num" val="2"/>
        <cfvo type="num" val="3"/>
      </iconSet>
    </cfRule>
  </conditionalFormatting>
  <conditionalFormatting sqref="J99">
    <cfRule type="iconSet" priority="272">
      <iconSet showValue="0">
        <cfvo type="percent" val="0"/>
        <cfvo type="num" val="2"/>
        <cfvo type="num" val="3"/>
      </iconSet>
    </cfRule>
  </conditionalFormatting>
  <conditionalFormatting sqref="J97">
    <cfRule type="iconSet" priority="379">
      <iconSet showValue="0">
        <cfvo type="percent" val="0"/>
        <cfvo type="num" val="2"/>
        <cfvo type="num" val="3"/>
      </iconSet>
    </cfRule>
  </conditionalFormatting>
  <conditionalFormatting sqref="J104">
    <cfRule type="iconSet" priority="271">
      <iconSet showValue="0">
        <cfvo type="percent" val="0"/>
        <cfvo type="num" val="2"/>
        <cfvo type="num" val="3"/>
      </iconSet>
    </cfRule>
  </conditionalFormatting>
  <conditionalFormatting sqref="J102">
    <cfRule type="iconSet" priority="270">
      <iconSet showValue="0">
        <cfvo type="percent" val="0"/>
        <cfvo type="num" val="2"/>
        <cfvo type="num" val="3"/>
      </iconSet>
    </cfRule>
  </conditionalFormatting>
  <conditionalFormatting sqref="J103">
    <cfRule type="iconSet" priority="269">
      <iconSet showValue="0">
        <cfvo type="percent" val="0"/>
        <cfvo type="num" val="2"/>
        <cfvo type="num" val="3"/>
      </iconSet>
    </cfRule>
  </conditionalFormatting>
  <conditionalFormatting sqref="J163:J165">
    <cfRule type="iconSet" priority="397">
      <iconSet showValue="0">
        <cfvo type="percent" val="0"/>
        <cfvo type="num" val="2"/>
        <cfvo type="num" val="3"/>
      </iconSet>
    </cfRule>
  </conditionalFormatting>
  <conditionalFormatting sqref="J166">
    <cfRule type="iconSet" priority="265">
      <iconSet showValue="0">
        <cfvo type="percent" val="0"/>
        <cfvo type="num" val="2"/>
        <cfvo type="num" val="3"/>
      </iconSet>
    </cfRule>
  </conditionalFormatting>
  <conditionalFormatting sqref="J170">
    <cfRule type="iconSet" priority="403">
      <iconSet showValue="0">
        <cfvo type="percent" val="0"/>
        <cfvo type="num" val="2"/>
        <cfvo type="num" val="3"/>
      </iconSet>
    </cfRule>
  </conditionalFormatting>
  <conditionalFormatting sqref="J173">
    <cfRule type="iconSet" priority="264">
      <iconSet showValue="0">
        <cfvo type="percent" val="0"/>
        <cfvo type="num" val="2"/>
        <cfvo type="num" val="3"/>
      </iconSet>
    </cfRule>
  </conditionalFormatting>
  <conditionalFormatting sqref="J171:J172">
    <cfRule type="iconSet" priority="263">
      <iconSet showValue="0">
        <cfvo type="percent" val="0"/>
        <cfvo type="num" val="2"/>
        <cfvo type="num" val="3"/>
      </iconSet>
    </cfRule>
  </conditionalFormatting>
  <conditionalFormatting sqref="J348">
    <cfRule type="iconSet" priority="262">
      <iconSet showValue="0">
        <cfvo type="percent" val="0"/>
        <cfvo type="num" val="2"/>
        <cfvo type="num" val="3"/>
      </iconSet>
    </cfRule>
  </conditionalFormatting>
  <conditionalFormatting sqref="J365">
    <cfRule type="iconSet" priority="261">
      <iconSet showValue="0">
        <cfvo type="percent" val="0"/>
        <cfvo type="num" val="2"/>
        <cfvo type="num" val="3"/>
      </iconSet>
    </cfRule>
  </conditionalFormatting>
  <conditionalFormatting sqref="J389">
    <cfRule type="iconSet" priority="260">
      <iconSet showValue="0">
        <cfvo type="percent" val="0"/>
        <cfvo type="num" val="2"/>
        <cfvo type="num" val="3"/>
      </iconSet>
    </cfRule>
  </conditionalFormatting>
  <conditionalFormatting sqref="J409">
    <cfRule type="iconSet" priority="258">
      <iconSet showValue="0">
        <cfvo type="percent" val="0"/>
        <cfvo type="num" val="2"/>
        <cfvo type="num" val="3"/>
      </iconSet>
    </cfRule>
  </conditionalFormatting>
  <conditionalFormatting sqref="J335">
    <cfRule type="iconSet" priority="257">
      <iconSet showValue="0">
        <cfvo type="percent" val="0"/>
        <cfvo type="num" val="2"/>
        <cfvo type="num" val="3"/>
      </iconSet>
    </cfRule>
  </conditionalFormatting>
  <conditionalFormatting sqref="J336">
    <cfRule type="iconSet" priority="256">
      <iconSet showValue="0">
        <cfvo type="percent" val="0"/>
        <cfvo type="num" val="2"/>
        <cfvo type="num" val="3"/>
      </iconSet>
    </cfRule>
  </conditionalFormatting>
  <conditionalFormatting sqref="J344">
    <cfRule type="iconSet" priority="255">
      <iconSet showValue="0">
        <cfvo type="percent" val="0"/>
        <cfvo type="num" val="2"/>
        <cfvo type="num" val="3"/>
      </iconSet>
    </cfRule>
  </conditionalFormatting>
  <conditionalFormatting sqref="J345">
    <cfRule type="iconSet" priority="254">
      <iconSet showValue="0">
        <cfvo type="percent" val="0"/>
        <cfvo type="num" val="2"/>
        <cfvo type="num" val="3"/>
      </iconSet>
    </cfRule>
  </conditionalFormatting>
  <conditionalFormatting sqref="J360">
    <cfRule type="iconSet" priority="251">
      <iconSet showValue="0">
        <cfvo type="percent" val="0"/>
        <cfvo type="num" val="2"/>
        <cfvo type="num" val="3"/>
      </iconSet>
    </cfRule>
  </conditionalFormatting>
  <conditionalFormatting sqref="J361">
    <cfRule type="iconSet" priority="250">
      <iconSet showValue="0">
        <cfvo type="percent" val="0"/>
        <cfvo type="num" val="2"/>
        <cfvo type="num" val="3"/>
      </iconSet>
    </cfRule>
  </conditionalFormatting>
  <conditionalFormatting sqref="J362">
    <cfRule type="iconSet" priority="249">
      <iconSet showValue="0">
        <cfvo type="percent" val="0"/>
        <cfvo type="num" val="2"/>
        <cfvo type="num" val="3"/>
      </iconSet>
    </cfRule>
  </conditionalFormatting>
  <conditionalFormatting sqref="J377">
    <cfRule type="iconSet" priority="246">
      <iconSet showValue="0">
        <cfvo type="percent" val="0"/>
        <cfvo type="num" val="2"/>
        <cfvo type="num" val="3"/>
      </iconSet>
    </cfRule>
  </conditionalFormatting>
  <conditionalFormatting sqref="J378">
    <cfRule type="iconSet" priority="245">
      <iconSet showValue="0">
        <cfvo type="percent" val="0"/>
        <cfvo type="num" val="2"/>
        <cfvo type="num" val="3"/>
      </iconSet>
    </cfRule>
  </conditionalFormatting>
  <conditionalFormatting sqref="J379">
    <cfRule type="iconSet" priority="244">
      <iconSet showValue="0">
        <cfvo type="percent" val="0"/>
        <cfvo type="num" val="2"/>
        <cfvo type="num" val="3"/>
      </iconSet>
    </cfRule>
  </conditionalFormatting>
  <conditionalFormatting sqref="J392">
    <cfRule type="iconSet" priority="242">
      <iconSet showValue="0">
        <cfvo type="percent" val="0"/>
        <cfvo type="num" val="2"/>
        <cfvo type="num" val="3"/>
      </iconSet>
    </cfRule>
  </conditionalFormatting>
  <conditionalFormatting sqref="J393">
    <cfRule type="iconSet" priority="241">
      <iconSet showValue="0">
        <cfvo type="percent" val="0"/>
        <cfvo type="num" val="2"/>
        <cfvo type="num" val="3"/>
      </iconSet>
    </cfRule>
  </conditionalFormatting>
  <conditionalFormatting sqref="J422 J394">
    <cfRule type="iconSet" priority="240">
      <iconSet showValue="0">
        <cfvo type="percent" val="0"/>
        <cfvo type="num" val="2"/>
        <cfvo type="num" val="3"/>
      </iconSet>
    </cfRule>
  </conditionalFormatting>
  <conditionalFormatting sqref="J413">
    <cfRule type="iconSet" priority="239">
      <iconSet showValue="0">
        <cfvo type="percent" val="0"/>
        <cfvo type="num" val="2"/>
        <cfvo type="num" val="3"/>
      </iconSet>
    </cfRule>
  </conditionalFormatting>
  <conditionalFormatting sqref="J414">
    <cfRule type="iconSet" priority="238">
      <iconSet showValue="0">
        <cfvo type="percent" val="0"/>
        <cfvo type="num" val="2"/>
        <cfvo type="num" val="3"/>
      </iconSet>
    </cfRule>
  </conditionalFormatting>
  <conditionalFormatting sqref="J415">
    <cfRule type="iconSet" priority="237">
      <iconSet showValue="0">
        <cfvo type="percent" val="0"/>
        <cfvo type="num" val="2"/>
        <cfvo type="num" val="3"/>
      </iconSet>
    </cfRule>
  </conditionalFormatting>
  <conditionalFormatting sqref="J416">
    <cfRule type="iconSet" priority="236">
      <iconSet showValue="0">
        <cfvo type="percent" val="0"/>
        <cfvo type="num" val="2"/>
        <cfvo type="num" val="3"/>
      </iconSet>
    </cfRule>
  </conditionalFormatting>
  <conditionalFormatting sqref="J417">
    <cfRule type="iconSet" priority="235">
      <iconSet showValue="0">
        <cfvo type="percent" val="0"/>
        <cfvo type="num" val="2"/>
        <cfvo type="num" val="3"/>
      </iconSet>
    </cfRule>
  </conditionalFormatting>
  <conditionalFormatting sqref="J418">
    <cfRule type="iconSet" priority="234">
      <iconSet showValue="0">
        <cfvo type="percent" val="0"/>
        <cfvo type="num" val="2"/>
        <cfvo type="num" val="3"/>
      </iconSet>
    </cfRule>
  </conditionalFormatting>
  <conditionalFormatting sqref="J256">
    <cfRule type="iconSet" priority="233">
      <iconSet showValue="0">
        <cfvo type="percent" val="0"/>
        <cfvo type="num" val="2"/>
        <cfvo type="num" val="3"/>
      </iconSet>
    </cfRule>
  </conditionalFormatting>
  <conditionalFormatting sqref="J294 J282:J284 J287:J289">
    <cfRule type="iconSet" priority="410">
      <iconSet showValue="0">
        <cfvo type="percent" val="0"/>
        <cfvo type="num" val="2"/>
        <cfvo type="num" val="3"/>
      </iconSet>
    </cfRule>
  </conditionalFormatting>
  <conditionalFormatting sqref="J285">
    <cfRule type="iconSet" priority="231">
      <iconSet showValue="0">
        <cfvo type="percent" val="0"/>
        <cfvo type="num" val="2"/>
        <cfvo type="num" val="3"/>
      </iconSet>
    </cfRule>
  </conditionalFormatting>
  <conditionalFormatting sqref="J286">
    <cfRule type="iconSet" priority="230">
      <iconSet showValue="0">
        <cfvo type="percent" val="0"/>
        <cfvo type="num" val="2"/>
        <cfvo type="num" val="3"/>
      </iconSet>
    </cfRule>
  </conditionalFormatting>
  <conditionalFormatting sqref="J290">
    <cfRule type="iconSet" priority="229">
      <iconSet showValue="0">
        <cfvo type="percent" val="0"/>
        <cfvo type="num" val="2"/>
        <cfvo type="num" val="3"/>
      </iconSet>
    </cfRule>
  </conditionalFormatting>
  <conditionalFormatting sqref="J291">
    <cfRule type="iconSet" priority="228">
      <iconSet showValue="0">
        <cfvo type="percent" val="0"/>
        <cfvo type="num" val="2"/>
        <cfvo type="num" val="3"/>
      </iconSet>
    </cfRule>
  </conditionalFormatting>
  <conditionalFormatting sqref="J292">
    <cfRule type="iconSet" priority="227">
      <iconSet showValue="0">
        <cfvo type="percent" val="0"/>
        <cfvo type="num" val="2"/>
        <cfvo type="num" val="3"/>
      </iconSet>
    </cfRule>
  </conditionalFormatting>
  <conditionalFormatting sqref="J293">
    <cfRule type="iconSet" priority="226">
      <iconSet showValue="0">
        <cfvo type="percent" val="0"/>
        <cfvo type="num" val="2"/>
        <cfvo type="num" val="3"/>
      </iconSet>
    </cfRule>
  </conditionalFormatting>
  <conditionalFormatting sqref="J301:J303 J308:J312 J314:J316">
    <cfRule type="iconSet" priority="413">
      <iconSet showValue="0">
        <cfvo type="percent" val="0"/>
        <cfvo type="num" val="2"/>
        <cfvo type="num" val="3"/>
      </iconSet>
    </cfRule>
  </conditionalFormatting>
  <conditionalFormatting sqref="J304:J305">
    <cfRule type="iconSet" priority="224">
      <iconSet showValue="0">
        <cfvo type="percent" val="0"/>
        <cfvo type="num" val="2"/>
        <cfvo type="num" val="3"/>
      </iconSet>
    </cfRule>
  </conditionalFormatting>
  <conditionalFormatting sqref="J307">
    <cfRule type="iconSet" priority="223">
      <iconSet showValue="0">
        <cfvo type="percent" val="0"/>
        <cfvo type="num" val="2"/>
        <cfvo type="num" val="3"/>
      </iconSet>
    </cfRule>
  </conditionalFormatting>
  <conditionalFormatting sqref="J92 J77:J79 J81 J94">
    <cfRule type="iconSet" priority="422">
      <iconSet showValue="0">
        <cfvo type="percent" val="0"/>
        <cfvo type="num" val="2"/>
        <cfvo type="num" val="3"/>
      </iconSet>
    </cfRule>
  </conditionalFormatting>
  <conditionalFormatting sqref="J119">
    <cfRule type="iconSet" priority="460">
      <iconSet showValue="0">
        <cfvo type="percent" val="0"/>
        <cfvo type="num" val="2"/>
        <cfvo type="num" val="3"/>
      </iconSet>
    </cfRule>
  </conditionalFormatting>
  <conditionalFormatting sqref="J124:J127 J112 J116">
    <cfRule type="iconSet" priority="475">
      <iconSet showValue="0">
        <cfvo type="percent" val="0"/>
        <cfvo type="num" val="2"/>
        <cfvo type="num" val="3"/>
      </iconSet>
    </cfRule>
  </conditionalFormatting>
  <conditionalFormatting sqref="J151">
    <cfRule type="iconSet" priority="495">
      <iconSet showValue="0">
        <cfvo type="percent" val="0"/>
        <cfvo type="num" val="2"/>
        <cfvo type="num" val="3"/>
      </iconSet>
    </cfRule>
  </conditionalFormatting>
  <conditionalFormatting sqref="J249:J252">
    <cfRule type="iconSet" priority="221">
      <iconSet showValue="0">
        <cfvo type="percent" val="0"/>
        <cfvo type="num" val="2"/>
        <cfvo type="num" val="3"/>
      </iconSet>
    </cfRule>
  </conditionalFormatting>
  <conditionalFormatting sqref="J262:J264">
    <cfRule type="iconSet" priority="220">
      <iconSet showValue="0">
        <cfvo type="percent" val="0"/>
        <cfvo type="num" val="2"/>
        <cfvo type="num" val="3"/>
      </iconSet>
    </cfRule>
  </conditionalFormatting>
  <conditionalFormatting sqref="J118">
    <cfRule type="iconSet" priority="219">
      <iconSet showValue="0">
        <cfvo type="percent" val="0"/>
        <cfvo type="num" val="2"/>
        <cfvo type="num" val="3"/>
      </iconSet>
    </cfRule>
  </conditionalFormatting>
  <conditionalFormatting sqref="J121">
    <cfRule type="iconSet" priority="217">
      <iconSet showValue="0">
        <cfvo type="percent" val="0"/>
        <cfvo type="num" val="2"/>
        <cfvo type="num" val="3"/>
      </iconSet>
    </cfRule>
  </conditionalFormatting>
  <conditionalFormatting sqref="J123">
    <cfRule type="iconSet" priority="216">
      <iconSet showValue="0">
        <cfvo type="percent" val="0"/>
        <cfvo type="num" val="2"/>
        <cfvo type="num" val="3"/>
      </iconSet>
    </cfRule>
  </conditionalFormatting>
  <conditionalFormatting sqref="J150">
    <cfRule type="iconSet" priority="215">
      <iconSet showValue="0">
        <cfvo type="percent" val="0"/>
        <cfvo type="num" val="2"/>
        <cfvo type="num" val="3"/>
      </iconSet>
    </cfRule>
  </conditionalFormatting>
  <conditionalFormatting sqref="J152">
    <cfRule type="iconSet" priority="214">
      <iconSet showValue="0">
        <cfvo type="percent" val="0"/>
        <cfvo type="num" val="2"/>
        <cfvo type="num" val="3"/>
      </iconSet>
    </cfRule>
  </conditionalFormatting>
  <conditionalFormatting sqref="J343">
    <cfRule type="iconSet" priority="212">
      <iconSet showValue="0">
        <cfvo type="percent" val="0"/>
        <cfvo type="num" val="2"/>
        <cfvo type="num" val="3"/>
      </iconSet>
    </cfRule>
  </conditionalFormatting>
  <conditionalFormatting sqref="J306">
    <cfRule type="iconSet" priority="210">
      <iconSet showValue="0">
        <cfvo type="percent" val="0"/>
        <cfvo type="num" val="2"/>
        <cfvo type="num" val="3"/>
      </iconSet>
    </cfRule>
  </conditionalFormatting>
  <conditionalFormatting sqref="J62">
    <cfRule type="iconSet" priority="209">
      <iconSet showValue="0">
        <cfvo type="percent" val="0"/>
        <cfvo type="num" val="2"/>
        <cfvo type="num" val="3"/>
      </iconSet>
    </cfRule>
  </conditionalFormatting>
  <conditionalFormatting sqref="J382:J384">
    <cfRule type="iconSet" priority="205">
      <iconSet showValue="0">
        <cfvo type="percent" val="0"/>
        <cfvo type="num" val="2"/>
        <cfvo type="num" val="3"/>
      </iconSet>
    </cfRule>
  </conditionalFormatting>
  <conditionalFormatting sqref="J39:J43">
    <cfRule type="iconSet" priority="723">
      <iconSet showValue="0">
        <cfvo type="percent" val="0"/>
        <cfvo type="num" val="2"/>
        <cfvo type="num" val="3"/>
      </iconSet>
    </cfRule>
  </conditionalFormatting>
  <conditionalFormatting sqref="J405">
    <cfRule type="iconSet" priority="202">
      <iconSet showValue="0">
        <cfvo type="percent" val="0"/>
        <cfvo type="num" val="2"/>
        <cfvo type="num" val="3"/>
      </iconSet>
    </cfRule>
  </conditionalFormatting>
  <conditionalFormatting sqref="J397:J398">
    <cfRule type="iconSet" priority="200">
      <iconSet showValue="0">
        <cfvo type="percent" val="0"/>
        <cfvo type="num" val="2"/>
        <cfvo type="num" val="3"/>
      </iconSet>
    </cfRule>
  </conditionalFormatting>
  <conditionalFormatting sqref="J397:J398">
    <cfRule type="iconSet" priority="201">
      <iconSet showValue="0">
        <cfvo type="percent" val="0"/>
        <cfvo type="num" val="2"/>
        <cfvo type="num" val="3"/>
      </iconSet>
    </cfRule>
  </conditionalFormatting>
  <conditionalFormatting sqref="J359">
    <cfRule type="iconSet" priority="199">
      <iconSet showValue="0">
        <cfvo type="percent" val="0"/>
        <cfvo type="num" val="2"/>
        <cfvo type="num" val="3"/>
      </iconSet>
    </cfRule>
  </conditionalFormatting>
  <conditionalFormatting sqref="J403:J404">
    <cfRule type="iconSet" priority="198">
      <iconSet showValue="0">
        <cfvo type="percent" val="0"/>
        <cfvo type="num" val="2"/>
        <cfvo type="num" val="3"/>
      </iconSet>
    </cfRule>
  </conditionalFormatting>
  <conditionalFormatting sqref="J395">
    <cfRule type="iconSet" priority="194">
      <iconSet showValue="0">
        <cfvo type="percent" val="0"/>
        <cfvo type="num" val="2"/>
        <cfvo type="num" val="3"/>
      </iconSet>
    </cfRule>
  </conditionalFormatting>
  <conditionalFormatting sqref="J49">
    <cfRule type="iconSet" priority="192">
      <iconSet showValue="0">
        <cfvo type="percent" val="0"/>
        <cfvo type="num" val="2"/>
        <cfvo type="num" val="3"/>
      </iconSet>
    </cfRule>
  </conditionalFormatting>
  <conditionalFormatting sqref="J82">
    <cfRule type="iconSet" priority="191">
      <iconSet showValue="0">
        <cfvo type="percent" val="0"/>
        <cfvo type="num" val="2"/>
        <cfvo type="num" val="3"/>
      </iconSet>
    </cfRule>
  </conditionalFormatting>
  <conditionalFormatting sqref="J85">
    <cfRule type="iconSet" priority="190">
      <iconSet showValue="0">
        <cfvo type="percent" val="0"/>
        <cfvo type="num" val="2"/>
        <cfvo type="num" val="3"/>
      </iconSet>
    </cfRule>
  </conditionalFormatting>
  <conditionalFormatting sqref="J91">
    <cfRule type="iconSet" priority="189">
      <iconSet showValue="0">
        <cfvo type="percent" val="0"/>
        <cfvo type="num" val="2"/>
        <cfvo type="num" val="3"/>
      </iconSet>
    </cfRule>
  </conditionalFormatting>
  <conditionalFormatting sqref="J93">
    <cfRule type="iconSet" priority="188">
      <iconSet showValue="0">
        <cfvo type="percent" val="0"/>
        <cfvo type="num" val="2"/>
        <cfvo type="num" val="3"/>
      </iconSet>
    </cfRule>
  </conditionalFormatting>
  <conditionalFormatting sqref="J390">
    <cfRule type="iconSet" priority="187">
      <iconSet showValue="0">
        <cfvo type="percent" val="0"/>
        <cfvo type="num" val="2"/>
        <cfvo type="num" val="3"/>
      </iconSet>
    </cfRule>
  </conditionalFormatting>
  <conditionalFormatting sqref="J390">
    <cfRule type="iconSet" priority="186">
      <iconSet showValue="0">
        <cfvo type="percent" val="0"/>
        <cfvo type="num" val="2"/>
        <cfvo type="num" val="3"/>
      </iconSet>
    </cfRule>
  </conditionalFormatting>
  <conditionalFormatting sqref="J63">
    <cfRule type="iconSet" priority="185">
      <iconSet showValue="0">
        <cfvo type="percent" val="0"/>
        <cfvo type="num" val="2"/>
        <cfvo type="num" val="3"/>
      </iconSet>
    </cfRule>
  </conditionalFormatting>
  <conditionalFormatting sqref="J64">
    <cfRule type="iconSet" priority="184">
      <iconSet showValue="0">
        <cfvo type="percent" val="0"/>
        <cfvo type="num" val="2"/>
        <cfvo type="num" val="3"/>
      </iconSet>
    </cfRule>
  </conditionalFormatting>
  <conditionalFormatting sqref="J65">
    <cfRule type="iconSet" priority="183">
      <iconSet showValue="0">
        <cfvo type="percent" val="0"/>
        <cfvo type="num" val="2"/>
        <cfvo type="num" val="3"/>
      </iconSet>
    </cfRule>
  </conditionalFormatting>
  <conditionalFormatting sqref="J66">
    <cfRule type="iconSet" priority="182">
      <iconSet showValue="0">
        <cfvo type="percent" val="0"/>
        <cfvo type="num" val="2"/>
        <cfvo type="num" val="3"/>
      </iconSet>
    </cfRule>
  </conditionalFormatting>
  <conditionalFormatting sqref="J67">
    <cfRule type="iconSet" priority="181">
      <iconSet showValue="0">
        <cfvo type="percent" val="0"/>
        <cfvo type="num" val="2"/>
        <cfvo type="num" val="3"/>
      </iconSet>
    </cfRule>
  </conditionalFormatting>
  <conditionalFormatting sqref="J68">
    <cfRule type="iconSet" priority="180">
      <iconSet showValue="0">
        <cfvo type="percent" val="0"/>
        <cfvo type="num" val="2"/>
        <cfvo type="num" val="3"/>
      </iconSet>
    </cfRule>
  </conditionalFormatting>
  <conditionalFormatting sqref="J69">
    <cfRule type="iconSet" priority="179">
      <iconSet showValue="0">
        <cfvo type="percent" val="0"/>
        <cfvo type="num" val="2"/>
        <cfvo type="num" val="3"/>
      </iconSet>
    </cfRule>
  </conditionalFormatting>
  <conditionalFormatting sqref="J70">
    <cfRule type="iconSet" priority="178">
      <iconSet showValue="0">
        <cfvo type="percent" val="0"/>
        <cfvo type="num" val="2"/>
        <cfvo type="num" val="3"/>
      </iconSet>
    </cfRule>
  </conditionalFormatting>
  <conditionalFormatting sqref="J71">
    <cfRule type="iconSet" priority="177">
      <iconSet showValue="0">
        <cfvo type="percent" val="0"/>
        <cfvo type="num" val="2"/>
        <cfvo type="num" val="3"/>
      </iconSet>
    </cfRule>
  </conditionalFormatting>
  <conditionalFormatting sqref="J72">
    <cfRule type="iconSet" priority="176">
      <iconSet showValue="0">
        <cfvo type="percent" val="0"/>
        <cfvo type="num" val="2"/>
        <cfvo type="num" val="3"/>
      </iconSet>
    </cfRule>
  </conditionalFormatting>
  <conditionalFormatting sqref="J73">
    <cfRule type="iconSet" priority="175">
      <iconSet showValue="0">
        <cfvo type="percent" val="0"/>
        <cfvo type="num" val="2"/>
        <cfvo type="num" val="3"/>
      </iconSet>
    </cfRule>
  </conditionalFormatting>
  <conditionalFormatting sqref="J74">
    <cfRule type="iconSet" priority="174">
      <iconSet showValue="0">
        <cfvo type="percent" val="0"/>
        <cfvo type="num" val="2"/>
        <cfvo type="num" val="3"/>
      </iconSet>
    </cfRule>
  </conditionalFormatting>
  <conditionalFormatting sqref="J75">
    <cfRule type="iconSet" priority="173">
      <iconSet showValue="0">
        <cfvo type="percent" val="0"/>
        <cfvo type="num" val="2"/>
        <cfvo type="num" val="3"/>
      </iconSet>
    </cfRule>
  </conditionalFormatting>
  <conditionalFormatting sqref="J117">
    <cfRule type="iconSet" priority="172">
      <iconSet showValue="0">
        <cfvo type="percent" val="0"/>
        <cfvo type="num" val="2"/>
        <cfvo type="num" val="3"/>
      </iconSet>
    </cfRule>
  </conditionalFormatting>
  <conditionalFormatting sqref="J23">
    <cfRule type="iconSet" priority="171">
      <iconSet showValue="0">
        <cfvo type="percent" val="0"/>
        <cfvo type="num" val="2"/>
        <cfvo type="num" val="3"/>
      </iconSet>
    </cfRule>
  </conditionalFormatting>
  <conditionalFormatting sqref="J24">
    <cfRule type="iconSet" priority="170">
      <iconSet showValue="0">
        <cfvo type="percent" val="0"/>
        <cfvo type="num" val="2"/>
        <cfvo type="num" val="3"/>
      </iconSet>
    </cfRule>
  </conditionalFormatting>
  <conditionalFormatting sqref="J25">
    <cfRule type="iconSet" priority="169">
      <iconSet showValue="0">
        <cfvo type="percent" val="0"/>
        <cfvo type="num" val="2"/>
        <cfvo type="num" val="3"/>
      </iconSet>
    </cfRule>
  </conditionalFormatting>
  <conditionalFormatting sqref="J26">
    <cfRule type="iconSet" priority="168">
      <iconSet showValue="0">
        <cfvo type="percent" val="0"/>
        <cfvo type="num" val="2"/>
        <cfvo type="num" val="3"/>
      </iconSet>
    </cfRule>
  </conditionalFormatting>
  <conditionalFormatting sqref="J27">
    <cfRule type="iconSet" priority="167">
      <iconSet showValue="0">
        <cfvo type="percent" val="0"/>
        <cfvo type="num" val="2"/>
        <cfvo type="num" val="3"/>
      </iconSet>
    </cfRule>
  </conditionalFormatting>
  <conditionalFormatting sqref="J28">
    <cfRule type="iconSet" priority="166">
      <iconSet showValue="0">
        <cfvo type="percent" val="0"/>
        <cfvo type="num" val="2"/>
        <cfvo type="num" val="3"/>
      </iconSet>
    </cfRule>
  </conditionalFormatting>
  <conditionalFormatting sqref="J29">
    <cfRule type="iconSet" priority="165">
      <iconSet showValue="0">
        <cfvo type="percent" val="0"/>
        <cfvo type="num" val="2"/>
        <cfvo type="num" val="3"/>
      </iconSet>
    </cfRule>
  </conditionalFormatting>
  <conditionalFormatting sqref="J30">
    <cfRule type="iconSet" priority="164">
      <iconSet showValue="0">
        <cfvo type="percent" val="0"/>
        <cfvo type="num" val="2"/>
        <cfvo type="num" val="3"/>
      </iconSet>
    </cfRule>
  </conditionalFormatting>
  <conditionalFormatting sqref="J31">
    <cfRule type="iconSet" priority="163">
      <iconSet showValue="0">
        <cfvo type="percent" val="0"/>
        <cfvo type="num" val="2"/>
        <cfvo type="num" val="3"/>
      </iconSet>
    </cfRule>
  </conditionalFormatting>
  <conditionalFormatting sqref="J32">
    <cfRule type="iconSet" priority="162">
      <iconSet showValue="0">
        <cfvo type="percent" val="0"/>
        <cfvo type="num" val="2"/>
        <cfvo type="num" val="3"/>
      </iconSet>
    </cfRule>
  </conditionalFormatting>
  <conditionalFormatting sqref="J33">
    <cfRule type="iconSet" priority="161">
      <iconSet showValue="0">
        <cfvo type="percent" val="0"/>
        <cfvo type="num" val="2"/>
        <cfvo type="num" val="3"/>
      </iconSet>
    </cfRule>
  </conditionalFormatting>
  <conditionalFormatting sqref="J34">
    <cfRule type="iconSet" priority="160">
      <iconSet showValue="0">
        <cfvo type="percent" val="0"/>
        <cfvo type="num" val="2"/>
        <cfvo type="num" val="3"/>
      </iconSet>
    </cfRule>
  </conditionalFormatting>
  <conditionalFormatting sqref="J35">
    <cfRule type="iconSet" priority="159">
      <iconSet showValue="0">
        <cfvo type="percent" val="0"/>
        <cfvo type="num" val="2"/>
        <cfvo type="num" val="3"/>
      </iconSet>
    </cfRule>
  </conditionalFormatting>
  <conditionalFormatting sqref="J36">
    <cfRule type="iconSet" priority="158">
      <iconSet showValue="0">
        <cfvo type="percent" val="0"/>
        <cfvo type="num" val="2"/>
        <cfvo type="num" val="3"/>
      </iconSet>
    </cfRule>
  </conditionalFormatting>
  <conditionalFormatting sqref="J136">
    <cfRule type="iconSet" priority="157">
      <iconSet showValue="0">
        <cfvo type="percent" val="0"/>
        <cfvo type="num" val="2"/>
        <cfvo type="num" val="3"/>
      </iconSet>
    </cfRule>
  </conditionalFormatting>
  <conditionalFormatting sqref="J148">
    <cfRule type="iconSet" priority="155">
      <iconSet showValue="0">
        <cfvo type="percent" val="0"/>
        <cfvo type="num" val="2"/>
        <cfvo type="num" val="3"/>
      </iconSet>
    </cfRule>
  </conditionalFormatting>
  <conditionalFormatting sqref="J149">
    <cfRule type="iconSet" priority="154">
      <iconSet showValue="0">
        <cfvo type="percent" val="0"/>
        <cfvo type="num" val="2"/>
        <cfvo type="num" val="3"/>
      </iconSet>
    </cfRule>
  </conditionalFormatting>
  <conditionalFormatting sqref="J180">
    <cfRule type="iconSet" priority="153">
      <iconSet showValue="0">
        <cfvo type="percent" val="0"/>
        <cfvo type="num" val="2"/>
        <cfvo type="num" val="3"/>
      </iconSet>
    </cfRule>
  </conditionalFormatting>
  <conditionalFormatting sqref="J181">
    <cfRule type="iconSet" priority="152">
      <iconSet showValue="0">
        <cfvo type="percent" val="0"/>
        <cfvo type="num" val="2"/>
        <cfvo type="num" val="3"/>
      </iconSet>
    </cfRule>
  </conditionalFormatting>
  <conditionalFormatting sqref="J201">
    <cfRule type="iconSet" priority="151">
      <iconSet showValue="0">
        <cfvo type="percent" val="0"/>
        <cfvo type="num" val="2"/>
        <cfvo type="num" val="3"/>
      </iconSet>
    </cfRule>
  </conditionalFormatting>
  <conditionalFormatting sqref="J202">
    <cfRule type="iconSet" priority="150">
      <iconSet showValue="0">
        <cfvo type="percent" val="0"/>
        <cfvo type="num" val="2"/>
        <cfvo type="num" val="3"/>
      </iconSet>
    </cfRule>
  </conditionalFormatting>
  <conditionalFormatting sqref="J203">
    <cfRule type="iconSet" priority="149">
      <iconSet showValue="0">
        <cfvo type="percent" val="0"/>
        <cfvo type="num" val="2"/>
        <cfvo type="num" val="3"/>
      </iconSet>
    </cfRule>
  </conditionalFormatting>
  <conditionalFormatting sqref="J208">
    <cfRule type="iconSet" priority="148">
      <iconSet showValue="0">
        <cfvo type="percent" val="0"/>
        <cfvo type="num" val="2"/>
        <cfvo type="num" val="3"/>
      </iconSet>
    </cfRule>
  </conditionalFormatting>
  <conditionalFormatting sqref="J209">
    <cfRule type="iconSet" priority="147">
      <iconSet showValue="0">
        <cfvo type="percent" val="0"/>
        <cfvo type="num" val="2"/>
        <cfvo type="num" val="3"/>
      </iconSet>
    </cfRule>
  </conditionalFormatting>
  <conditionalFormatting sqref="J210">
    <cfRule type="iconSet" priority="146">
      <iconSet showValue="0">
        <cfvo type="percent" val="0"/>
        <cfvo type="num" val="2"/>
        <cfvo type="num" val="3"/>
      </iconSet>
    </cfRule>
  </conditionalFormatting>
  <conditionalFormatting sqref="J182">
    <cfRule type="iconSet" priority="145">
      <iconSet showValue="0">
        <cfvo type="percent" val="0"/>
        <cfvo type="num" val="2"/>
        <cfvo type="num" val="3"/>
      </iconSet>
    </cfRule>
  </conditionalFormatting>
  <conditionalFormatting sqref="J223">
    <cfRule type="iconSet" priority="141">
      <iconSet showValue="0">
        <cfvo type="percent" val="0"/>
        <cfvo type="num" val="2"/>
        <cfvo type="num" val="3"/>
      </iconSet>
    </cfRule>
  </conditionalFormatting>
  <conditionalFormatting sqref="J224">
    <cfRule type="iconSet" priority="140">
      <iconSet showValue="0">
        <cfvo type="percent" val="0"/>
        <cfvo type="num" val="2"/>
        <cfvo type="num" val="3"/>
      </iconSet>
    </cfRule>
  </conditionalFormatting>
  <conditionalFormatting sqref="J225">
    <cfRule type="iconSet" priority="139">
      <iconSet showValue="0">
        <cfvo type="percent" val="0"/>
        <cfvo type="num" val="2"/>
        <cfvo type="num" val="3"/>
      </iconSet>
    </cfRule>
  </conditionalFormatting>
  <conditionalFormatting sqref="J235">
    <cfRule type="iconSet" priority="138">
      <iconSet showValue="0">
        <cfvo type="percent" val="0"/>
        <cfvo type="num" val="2"/>
        <cfvo type="num" val="3"/>
      </iconSet>
    </cfRule>
  </conditionalFormatting>
  <conditionalFormatting sqref="J236">
    <cfRule type="iconSet" priority="137">
      <iconSet showValue="0">
        <cfvo type="percent" val="0"/>
        <cfvo type="num" val="2"/>
        <cfvo type="num" val="3"/>
      </iconSet>
    </cfRule>
  </conditionalFormatting>
  <conditionalFormatting sqref="J237">
    <cfRule type="iconSet" priority="136">
      <iconSet showValue="0">
        <cfvo type="percent" val="0"/>
        <cfvo type="num" val="2"/>
        <cfvo type="num" val="3"/>
      </iconSet>
    </cfRule>
  </conditionalFormatting>
  <conditionalFormatting sqref="J243:J246">
    <cfRule type="iconSet" priority="135">
      <iconSet showValue="0">
        <cfvo type="percent" val="0"/>
        <cfvo type="num" val="2"/>
        <cfvo type="num" val="3"/>
      </iconSet>
    </cfRule>
  </conditionalFormatting>
  <conditionalFormatting sqref="J257">
    <cfRule type="iconSet" priority="134">
      <iconSet showValue="0">
        <cfvo type="percent" val="0"/>
        <cfvo type="num" val="2"/>
        <cfvo type="num" val="3"/>
      </iconSet>
    </cfRule>
  </conditionalFormatting>
  <conditionalFormatting sqref="J322">
    <cfRule type="iconSet" priority="131">
      <iconSet showValue="0">
        <cfvo type="percent" val="0"/>
        <cfvo type="num" val="2"/>
        <cfvo type="num" val="3"/>
      </iconSet>
    </cfRule>
  </conditionalFormatting>
  <conditionalFormatting sqref="J322">
    <cfRule type="iconSet" priority="132">
      <iconSet showValue="0">
        <cfvo type="percent" val="0"/>
        <cfvo type="num" val="2"/>
        <cfvo type="num" val="3"/>
      </iconSet>
    </cfRule>
  </conditionalFormatting>
  <conditionalFormatting sqref="J323">
    <cfRule type="iconSet" priority="129">
      <iconSet showValue="0">
        <cfvo type="percent" val="0"/>
        <cfvo type="num" val="2"/>
        <cfvo type="num" val="3"/>
      </iconSet>
    </cfRule>
  </conditionalFormatting>
  <conditionalFormatting sqref="J323">
    <cfRule type="iconSet" priority="130">
      <iconSet showValue="0">
        <cfvo type="percent" val="0"/>
        <cfvo type="num" val="2"/>
        <cfvo type="num" val="3"/>
      </iconSet>
    </cfRule>
  </conditionalFormatting>
  <conditionalFormatting sqref="J331">
    <cfRule type="iconSet" priority="127">
      <iconSet showValue="0">
        <cfvo type="percent" val="0"/>
        <cfvo type="num" val="2"/>
        <cfvo type="num" val="3"/>
      </iconSet>
    </cfRule>
  </conditionalFormatting>
  <conditionalFormatting sqref="J331">
    <cfRule type="iconSet" priority="128">
      <iconSet showValue="0">
        <cfvo type="percent" val="0"/>
        <cfvo type="num" val="2"/>
        <cfvo type="num" val="3"/>
      </iconSet>
    </cfRule>
  </conditionalFormatting>
  <conditionalFormatting sqref="J332">
    <cfRule type="iconSet" priority="125">
      <iconSet showValue="0">
        <cfvo type="percent" val="0"/>
        <cfvo type="num" val="2"/>
        <cfvo type="num" val="3"/>
      </iconSet>
    </cfRule>
  </conditionalFormatting>
  <conditionalFormatting sqref="J332">
    <cfRule type="iconSet" priority="126">
      <iconSet showValue="0">
        <cfvo type="percent" val="0"/>
        <cfvo type="num" val="2"/>
        <cfvo type="num" val="3"/>
      </iconSet>
    </cfRule>
  </conditionalFormatting>
  <conditionalFormatting sqref="J333">
    <cfRule type="iconSet" priority="123">
      <iconSet showValue="0">
        <cfvo type="percent" val="0"/>
        <cfvo type="num" val="2"/>
        <cfvo type="num" val="3"/>
      </iconSet>
    </cfRule>
  </conditionalFormatting>
  <conditionalFormatting sqref="J333">
    <cfRule type="iconSet" priority="124">
      <iconSet showValue="0">
        <cfvo type="percent" val="0"/>
        <cfvo type="num" val="2"/>
        <cfvo type="num" val="3"/>
      </iconSet>
    </cfRule>
  </conditionalFormatting>
  <conditionalFormatting sqref="J340">
    <cfRule type="iconSet" priority="121">
      <iconSet showValue="0">
        <cfvo type="percent" val="0"/>
        <cfvo type="num" val="2"/>
        <cfvo type="num" val="3"/>
      </iconSet>
    </cfRule>
  </conditionalFormatting>
  <conditionalFormatting sqref="J340">
    <cfRule type="iconSet" priority="122">
      <iconSet showValue="0">
        <cfvo type="percent" val="0"/>
        <cfvo type="num" val="2"/>
        <cfvo type="num" val="3"/>
      </iconSet>
    </cfRule>
  </conditionalFormatting>
  <conditionalFormatting sqref="J341">
    <cfRule type="iconSet" priority="119">
      <iconSet showValue="0">
        <cfvo type="percent" val="0"/>
        <cfvo type="num" val="2"/>
        <cfvo type="num" val="3"/>
      </iconSet>
    </cfRule>
  </conditionalFormatting>
  <conditionalFormatting sqref="J341">
    <cfRule type="iconSet" priority="120">
      <iconSet showValue="0">
        <cfvo type="percent" val="0"/>
        <cfvo type="num" val="2"/>
        <cfvo type="num" val="3"/>
      </iconSet>
    </cfRule>
  </conditionalFormatting>
  <conditionalFormatting sqref="J342">
    <cfRule type="iconSet" priority="117">
      <iconSet showValue="0">
        <cfvo type="percent" val="0"/>
        <cfvo type="num" val="2"/>
        <cfvo type="num" val="3"/>
      </iconSet>
    </cfRule>
  </conditionalFormatting>
  <conditionalFormatting sqref="J342">
    <cfRule type="iconSet" priority="118">
      <iconSet showValue="0">
        <cfvo type="percent" val="0"/>
        <cfvo type="num" val="2"/>
        <cfvo type="num" val="3"/>
      </iconSet>
    </cfRule>
  </conditionalFormatting>
  <conditionalFormatting sqref="J349">
    <cfRule type="iconSet" priority="115">
      <iconSet showValue="0">
        <cfvo type="percent" val="0"/>
        <cfvo type="num" val="2"/>
        <cfvo type="num" val="3"/>
      </iconSet>
    </cfRule>
  </conditionalFormatting>
  <conditionalFormatting sqref="J349">
    <cfRule type="iconSet" priority="116">
      <iconSet showValue="0">
        <cfvo type="percent" val="0"/>
        <cfvo type="num" val="2"/>
        <cfvo type="num" val="3"/>
      </iconSet>
    </cfRule>
  </conditionalFormatting>
  <conditionalFormatting sqref="J350">
    <cfRule type="iconSet" priority="113">
      <iconSet showValue="0">
        <cfvo type="percent" val="0"/>
        <cfvo type="num" val="2"/>
        <cfvo type="num" val="3"/>
      </iconSet>
    </cfRule>
  </conditionalFormatting>
  <conditionalFormatting sqref="J350">
    <cfRule type="iconSet" priority="114">
      <iconSet showValue="0">
        <cfvo type="percent" val="0"/>
        <cfvo type="num" val="2"/>
        <cfvo type="num" val="3"/>
      </iconSet>
    </cfRule>
  </conditionalFormatting>
  <conditionalFormatting sqref="J352">
    <cfRule type="iconSet" priority="111">
      <iconSet showValue="0">
        <cfvo type="percent" val="0"/>
        <cfvo type="num" val="2"/>
        <cfvo type="num" val="3"/>
      </iconSet>
    </cfRule>
  </conditionalFormatting>
  <conditionalFormatting sqref="J352">
    <cfRule type="iconSet" priority="112">
      <iconSet showValue="0">
        <cfvo type="percent" val="0"/>
        <cfvo type="num" val="2"/>
        <cfvo type="num" val="3"/>
      </iconSet>
    </cfRule>
  </conditionalFormatting>
  <conditionalFormatting sqref="J353">
    <cfRule type="iconSet" priority="109">
      <iconSet showValue="0">
        <cfvo type="percent" val="0"/>
        <cfvo type="num" val="2"/>
        <cfvo type="num" val="3"/>
      </iconSet>
    </cfRule>
  </conditionalFormatting>
  <conditionalFormatting sqref="J353">
    <cfRule type="iconSet" priority="110">
      <iconSet showValue="0">
        <cfvo type="percent" val="0"/>
        <cfvo type="num" val="2"/>
        <cfvo type="num" val="3"/>
      </iconSet>
    </cfRule>
  </conditionalFormatting>
  <conditionalFormatting sqref="J354">
    <cfRule type="iconSet" priority="107">
      <iconSet showValue="0">
        <cfvo type="percent" val="0"/>
        <cfvo type="num" val="2"/>
        <cfvo type="num" val="3"/>
      </iconSet>
    </cfRule>
  </conditionalFormatting>
  <conditionalFormatting sqref="J354">
    <cfRule type="iconSet" priority="108">
      <iconSet showValue="0">
        <cfvo type="percent" val="0"/>
        <cfvo type="num" val="2"/>
        <cfvo type="num" val="3"/>
      </iconSet>
    </cfRule>
  </conditionalFormatting>
  <conditionalFormatting sqref="J356">
    <cfRule type="iconSet" priority="105">
      <iconSet showValue="0">
        <cfvo type="percent" val="0"/>
        <cfvo type="num" val="2"/>
        <cfvo type="num" val="3"/>
      </iconSet>
    </cfRule>
  </conditionalFormatting>
  <conditionalFormatting sqref="J356">
    <cfRule type="iconSet" priority="106">
      <iconSet showValue="0">
        <cfvo type="percent" val="0"/>
        <cfvo type="num" val="2"/>
        <cfvo type="num" val="3"/>
      </iconSet>
    </cfRule>
  </conditionalFormatting>
  <conditionalFormatting sqref="J355">
    <cfRule type="iconSet" priority="103">
      <iconSet showValue="0">
        <cfvo type="percent" val="0"/>
        <cfvo type="num" val="2"/>
        <cfvo type="num" val="3"/>
      </iconSet>
    </cfRule>
  </conditionalFormatting>
  <conditionalFormatting sqref="J355">
    <cfRule type="iconSet" priority="104">
      <iconSet showValue="0">
        <cfvo type="percent" val="0"/>
        <cfvo type="num" val="2"/>
        <cfvo type="num" val="3"/>
      </iconSet>
    </cfRule>
  </conditionalFormatting>
  <conditionalFormatting sqref="J357">
    <cfRule type="iconSet" priority="101">
      <iconSet showValue="0">
        <cfvo type="percent" val="0"/>
        <cfvo type="num" val="2"/>
        <cfvo type="num" val="3"/>
      </iconSet>
    </cfRule>
  </conditionalFormatting>
  <conditionalFormatting sqref="J357">
    <cfRule type="iconSet" priority="102">
      <iconSet showValue="0">
        <cfvo type="percent" val="0"/>
        <cfvo type="num" val="2"/>
        <cfvo type="num" val="3"/>
      </iconSet>
    </cfRule>
  </conditionalFormatting>
  <conditionalFormatting sqref="J358">
    <cfRule type="iconSet" priority="99">
      <iconSet showValue="0">
        <cfvo type="percent" val="0"/>
        <cfvo type="num" val="2"/>
        <cfvo type="num" val="3"/>
      </iconSet>
    </cfRule>
  </conditionalFormatting>
  <conditionalFormatting sqref="J358">
    <cfRule type="iconSet" priority="100">
      <iconSet showValue="0">
        <cfvo type="percent" val="0"/>
        <cfvo type="num" val="2"/>
        <cfvo type="num" val="3"/>
      </iconSet>
    </cfRule>
  </conditionalFormatting>
  <conditionalFormatting sqref="J391">
    <cfRule type="iconSet" priority="79">
      <iconSet showValue="0">
        <cfvo type="percent" val="0"/>
        <cfvo type="num" val="2"/>
        <cfvo type="num" val="3"/>
      </iconSet>
    </cfRule>
  </conditionalFormatting>
  <conditionalFormatting sqref="J391">
    <cfRule type="iconSet" priority="80">
      <iconSet showValue="0">
        <cfvo type="percent" val="0"/>
        <cfvo type="num" val="2"/>
        <cfvo type="num" val="3"/>
      </iconSet>
    </cfRule>
  </conditionalFormatting>
  <conditionalFormatting sqref="J410">
    <cfRule type="iconSet" priority="77">
      <iconSet showValue="0">
        <cfvo type="percent" val="0"/>
        <cfvo type="num" val="2"/>
        <cfvo type="num" val="3"/>
      </iconSet>
    </cfRule>
  </conditionalFormatting>
  <conditionalFormatting sqref="J410">
    <cfRule type="iconSet" priority="78">
      <iconSet showValue="0">
        <cfvo type="percent" val="0"/>
        <cfvo type="num" val="2"/>
        <cfvo type="num" val="3"/>
      </iconSet>
    </cfRule>
  </conditionalFormatting>
  <conditionalFormatting sqref="J411">
    <cfRule type="iconSet" priority="75">
      <iconSet showValue="0">
        <cfvo type="percent" val="0"/>
        <cfvo type="num" val="2"/>
        <cfvo type="num" val="3"/>
      </iconSet>
    </cfRule>
  </conditionalFormatting>
  <conditionalFormatting sqref="J411">
    <cfRule type="iconSet" priority="76">
      <iconSet showValue="0">
        <cfvo type="percent" val="0"/>
        <cfvo type="num" val="2"/>
        <cfvo type="num" val="3"/>
      </iconSet>
    </cfRule>
  </conditionalFormatting>
  <conditionalFormatting sqref="J421">
    <cfRule type="iconSet" priority="74">
      <iconSet showValue="0">
        <cfvo type="percent" val="0"/>
        <cfvo type="num" val="2"/>
        <cfvo type="num" val="3"/>
      </iconSet>
    </cfRule>
  </conditionalFormatting>
  <conditionalFormatting sqref="J106">
    <cfRule type="iconSet" priority="73">
      <iconSet showValue="0">
        <cfvo type="percent" val="0"/>
        <cfvo type="num" val="2"/>
        <cfvo type="num" val="3"/>
      </iconSet>
    </cfRule>
  </conditionalFormatting>
  <conditionalFormatting sqref="J7:J20">
    <cfRule type="iconSet" priority="72">
      <iconSet showValue="0">
        <cfvo type="percent" val="0"/>
        <cfvo type="num" val="2"/>
        <cfvo type="num" val="3"/>
      </iconSet>
    </cfRule>
  </conditionalFormatting>
  <conditionalFormatting sqref="J113">
    <cfRule type="iconSet" priority="741">
      <iconSet showValue="0">
        <cfvo type="percent" val="0"/>
        <cfvo type="num" val="2"/>
        <cfvo type="num" val="3"/>
      </iconSet>
    </cfRule>
  </conditionalFormatting>
  <conditionalFormatting sqref="J114">
    <cfRule type="iconSet" priority="58">
      <iconSet showValue="0">
        <cfvo type="percent" val="0"/>
        <cfvo type="num" val="2"/>
        <cfvo type="num" val="3"/>
      </iconSet>
    </cfRule>
  </conditionalFormatting>
  <conditionalFormatting sqref="J115">
    <cfRule type="iconSet" priority="57">
      <iconSet showValue="0">
        <cfvo type="percent" val="0"/>
        <cfvo type="num" val="2"/>
        <cfvo type="num" val="3"/>
      </iconSet>
    </cfRule>
  </conditionalFormatting>
  <conditionalFormatting sqref="J45:J48">
    <cfRule type="iconSet" priority="56">
      <iconSet showValue="0">
        <cfvo type="percent" val="0"/>
        <cfvo type="num" val="2"/>
        <cfvo type="num" val="3"/>
      </iconSet>
    </cfRule>
  </conditionalFormatting>
  <conditionalFormatting sqref="J54:J60">
    <cfRule type="iconSet" priority="761">
      <iconSet showValue="0">
        <cfvo type="percent" val="0"/>
        <cfvo type="num" val="2"/>
        <cfvo type="num" val="3"/>
      </iconSet>
    </cfRule>
  </conditionalFormatting>
  <conditionalFormatting sqref="J183">
    <cfRule type="iconSet" priority="55">
      <iconSet showValue="0">
        <cfvo type="percent" val="0"/>
        <cfvo type="num" val="2"/>
        <cfvo type="num" val="3"/>
      </iconSet>
    </cfRule>
  </conditionalFormatting>
  <conditionalFormatting sqref="J184">
    <cfRule type="iconSet" priority="54">
      <iconSet showValue="0">
        <cfvo type="percent" val="0"/>
        <cfvo type="num" val="2"/>
        <cfvo type="num" val="3"/>
      </iconSet>
    </cfRule>
  </conditionalFormatting>
  <conditionalFormatting sqref="J185">
    <cfRule type="iconSet" priority="53">
      <iconSet showValue="0">
        <cfvo type="percent" val="0"/>
        <cfvo type="num" val="2"/>
        <cfvo type="num" val="3"/>
      </iconSet>
    </cfRule>
  </conditionalFormatting>
  <conditionalFormatting sqref="J190 J197:J198">
    <cfRule type="iconSet" priority="52">
      <iconSet showValue="0">
        <cfvo type="percent" val="0"/>
        <cfvo type="num" val="2"/>
        <cfvo type="num" val="3"/>
      </iconSet>
    </cfRule>
  </conditionalFormatting>
  <conditionalFormatting sqref="J191">
    <cfRule type="iconSet" priority="51">
      <iconSet showValue="0">
        <cfvo type="percent" val="0"/>
        <cfvo type="num" val="2"/>
        <cfvo type="num" val="3"/>
      </iconSet>
    </cfRule>
  </conditionalFormatting>
  <conditionalFormatting sqref="J192">
    <cfRule type="iconSet" priority="50">
      <iconSet showValue="0">
        <cfvo type="percent" val="0"/>
        <cfvo type="num" val="2"/>
        <cfvo type="num" val="3"/>
      </iconSet>
    </cfRule>
  </conditionalFormatting>
  <conditionalFormatting sqref="J193">
    <cfRule type="iconSet" priority="49">
      <iconSet showValue="0">
        <cfvo type="percent" val="0"/>
        <cfvo type="num" val="2"/>
        <cfvo type="num" val="3"/>
      </iconSet>
    </cfRule>
  </conditionalFormatting>
  <conditionalFormatting sqref="J194">
    <cfRule type="iconSet" priority="48">
      <iconSet showValue="0">
        <cfvo type="percent" val="0"/>
        <cfvo type="num" val="2"/>
        <cfvo type="num" val="3"/>
      </iconSet>
    </cfRule>
  </conditionalFormatting>
  <conditionalFormatting sqref="J195">
    <cfRule type="iconSet" priority="47">
      <iconSet showValue="0">
        <cfvo type="percent" val="0"/>
        <cfvo type="num" val="2"/>
        <cfvo type="num" val="3"/>
      </iconSet>
    </cfRule>
  </conditionalFormatting>
  <conditionalFormatting sqref="J196">
    <cfRule type="iconSet" priority="46">
      <iconSet showValue="0">
        <cfvo type="percent" val="0"/>
        <cfvo type="num" val="2"/>
        <cfvo type="num" val="3"/>
      </iconSet>
    </cfRule>
  </conditionalFormatting>
  <conditionalFormatting sqref="J215 J219:J220">
    <cfRule type="iconSet" priority="45">
      <iconSet showValue="0">
        <cfvo type="percent" val="0"/>
        <cfvo type="num" val="2"/>
        <cfvo type="num" val="3"/>
      </iconSet>
    </cfRule>
  </conditionalFormatting>
  <conditionalFormatting sqref="J216">
    <cfRule type="iconSet" priority="44">
      <iconSet showValue="0">
        <cfvo type="percent" val="0"/>
        <cfvo type="num" val="2"/>
        <cfvo type="num" val="3"/>
      </iconSet>
    </cfRule>
  </conditionalFormatting>
  <conditionalFormatting sqref="J217">
    <cfRule type="iconSet" priority="43">
      <iconSet showValue="0">
        <cfvo type="percent" val="0"/>
        <cfvo type="num" val="2"/>
        <cfvo type="num" val="3"/>
      </iconSet>
    </cfRule>
  </conditionalFormatting>
  <conditionalFormatting sqref="J218">
    <cfRule type="iconSet" priority="42">
      <iconSet showValue="0">
        <cfvo type="percent" val="0"/>
        <cfvo type="num" val="2"/>
        <cfvo type="num" val="3"/>
      </iconSet>
    </cfRule>
  </conditionalFormatting>
  <conditionalFormatting sqref="J376">
    <cfRule type="iconSet" priority="41">
      <iconSet showValue="0">
        <cfvo type="percent" val="0"/>
        <cfvo type="num" val="2"/>
        <cfvo type="num" val="3"/>
      </iconSet>
    </cfRule>
  </conditionalFormatting>
  <conditionalFormatting sqref="J366">
    <cfRule type="iconSet" priority="39">
      <iconSet showValue="0">
        <cfvo type="percent" val="0"/>
        <cfvo type="num" val="2"/>
        <cfvo type="num" val="3"/>
      </iconSet>
    </cfRule>
  </conditionalFormatting>
  <conditionalFormatting sqref="J366">
    <cfRule type="iconSet" priority="40">
      <iconSet showValue="0">
        <cfvo type="percent" val="0"/>
        <cfvo type="num" val="2"/>
        <cfvo type="num" val="3"/>
      </iconSet>
    </cfRule>
  </conditionalFormatting>
  <conditionalFormatting sqref="J367">
    <cfRule type="iconSet" priority="37">
      <iconSet showValue="0">
        <cfvo type="percent" val="0"/>
        <cfvo type="num" val="2"/>
        <cfvo type="num" val="3"/>
      </iconSet>
    </cfRule>
  </conditionalFormatting>
  <conditionalFormatting sqref="J367">
    <cfRule type="iconSet" priority="38">
      <iconSet showValue="0">
        <cfvo type="percent" val="0"/>
        <cfvo type="num" val="2"/>
        <cfvo type="num" val="3"/>
      </iconSet>
    </cfRule>
  </conditionalFormatting>
  <conditionalFormatting sqref="J369">
    <cfRule type="iconSet" priority="35">
      <iconSet showValue="0">
        <cfvo type="percent" val="0"/>
        <cfvo type="num" val="2"/>
        <cfvo type="num" val="3"/>
      </iconSet>
    </cfRule>
  </conditionalFormatting>
  <conditionalFormatting sqref="J369">
    <cfRule type="iconSet" priority="36">
      <iconSet showValue="0">
        <cfvo type="percent" val="0"/>
        <cfvo type="num" val="2"/>
        <cfvo type="num" val="3"/>
      </iconSet>
    </cfRule>
  </conditionalFormatting>
  <conditionalFormatting sqref="J370">
    <cfRule type="iconSet" priority="33">
      <iconSet showValue="0">
        <cfvo type="percent" val="0"/>
        <cfvo type="num" val="2"/>
        <cfvo type="num" val="3"/>
      </iconSet>
    </cfRule>
  </conditionalFormatting>
  <conditionalFormatting sqref="J370">
    <cfRule type="iconSet" priority="34">
      <iconSet showValue="0">
        <cfvo type="percent" val="0"/>
        <cfvo type="num" val="2"/>
        <cfvo type="num" val="3"/>
      </iconSet>
    </cfRule>
  </conditionalFormatting>
  <conditionalFormatting sqref="J371">
    <cfRule type="iconSet" priority="31">
      <iconSet showValue="0">
        <cfvo type="percent" val="0"/>
        <cfvo type="num" val="2"/>
        <cfvo type="num" val="3"/>
      </iconSet>
    </cfRule>
  </conditionalFormatting>
  <conditionalFormatting sqref="J371">
    <cfRule type="iconSet" priority="32">
      <iconSet showValue="0">
        <cfvo type="percent" val="0"/>
        <cfvo type="num" val="2"/>
        <cfvo type="num" val="3"/>
      </iconSet>
    </cfRule>
  </conditionalFormatting>
  <conditionalFormatting sqref="J373">
    <cfRule type="iconSet" priority="29">
      <iconSet showValue="0">
        <cfvo type="percent" val="0"/>
        <cfvo type="num" val="2"/>
        <cfvo type="num" val="3"/>
      </iconSet>
    </cfRule>
  </conditionalFormatting>
  <conditionalFormatting sqref="J373">
    <cfRule type="iconSet" priority="30">
      <iconSet showValue="0">
        <cfvo type="percent" val="0"/>
        <cfvo type="num" val="2"/>
        <cfvo type="num" val="3"/>
      </iconSet>
    </cfRule>
  </conditionalFormatting>
  <conditionalFormatting sqref="J372">
    <cfRule type="iconSet" priority="27">
      <iconSet showValue="0">
        <cfvo type="percent" val="0"/>
        <cfvo type="num" val="2"/>
        <cfvo type="num" val="3"/>
      </iconSet>
    </cfRule>
  </conditionalFormatting>
  <conditionalFormatting sqref="J372">
    <cfRule type="iconSet" priority="28">
      <iconSet showValue="0">
        <cfvo type="percent" val="0"/>
        <cfvo type="num" val="2"/>
        <cfvo type="num" val="3"/>
      </iconSet>
    </cfRule>
  </conditionalFormatting>
  <conditionalFormatting sqref="J374">
    <cfRule type="iconSet" priority="25">
      <iconSet showValue="0">
        <cfvo type="percent" val="0"/>
        <cfvo type="num" val="2"/>
        <cfvo type="num" val="3"/>
      </iconSet>
    </cfRule>
  </conditionalFormatting>
  <conditionalFormatting sqref="J374">
    <cfRule type="iconSet" priority="26">
      <iconSet showValue="0">
        <cfvo type="percent" val="0"/>
        <cfvo type="num" val="2"/>
        <cfvo type="num" val="3"/>
      </iconSet>
    </cfRule>
  </conditionalFormatting>
  <conditionalFormatting sqref="J375">
    <cfRule type="iconSet" priority="23">
      <iconSet showValue="0">
        <cfvo type="percent" val="0"/>
        <cfvo type="num" val="2"/>
        <cfvo type="num" val="3"/>
      </iconSet>
    </cfRule>
  </conditionalFormatting>
  <conditionalFormatting sqref="J375">
    <cfRule type="iconSet" priority="24">
      <iconSet showValue="0">
        <cfvo type="percent" val="0"/>
        <cfvo type="num" val="2"/>
        <cfvo type="num" val="3"/>
      </iconSet>
    </cfRule>
  </conditionalFormatting>
  <conditionalFormatting sqref="J400 J402">
    <cfRule type="iconSet" priority="762">
      <iconSet showValue="0">
        <cfvo type="percent" val="0"/>
        <cfvo type="num" val="2"/>
        <cfvo type="num" val="3"/>
      </iconSet>
    </cfRule>
  </conditionalFormatting>
  <conditionalFormatting sqref="J401">
    <cfRule type="iconSet" priority="22">
      <iconSet showValue="0">
        <cfvo type="percent" val="0"/>
        <cfvo type="num" val="2"/>
        <cfvo type="num" val="3"/>
      </iconSet>
    </cfRule>
  </conditionalFormatting>
  <conditionalFormatting sqref="J258">
    <cfRule type="iconSet" priority="21">
      <iconSet showValue="0">
        <cfvo type="percent" val="0"/>
        <cfvo type="num" val="2"/>
        <cfvo type="num" val="3"/>
      </iconSet>
    </cfRule>
  </conditionalFormatting>
  <conditionalFormatting sqref="J412">
    <cfRule type="iconSet" priority="20">
      <iconSet showValue="0">
        <cfvo type="percent" val="0"/>
        <cfvo type="num" val="2"/>
        <cfvo type="num" val="3"/>
      </iconSet>
    </cfRule>
  </conditionalFormatting>
  <conditionalFormatting sqref="J313">
    <cfRule type="iconSet" priority="19">
      <iconSet showValue="0">
        <cfvo type="percent" val="0"/>
        <cfvo type="num" val="2"/>
        <cfvo type="num" val="3"/>
      </iconSet>
    </cfRule>
  </conditionalFormatting>
  <conditionalFormatting sqref="J295">
    <cfRule type="iconSet" priority="17">
      <iconSet showValue="0">
        <cfvo type="percent" val="0"/>
        <cfvo type="num" val="2"/>
        <cfvo type="num" val="3"/>
      </iconSet>
    </cfRule>
  </conditionalFormatting>
  <conditionalFormatting sqref="J295">
    <cfRule type="iconSet" priority="18">
      <iconSet showValue="0">
        <cfvo type="percent" val="0"/>
        <cfvo type="num" val="2"/>
        <cfvo type="num" val="3"/>
      </iconSet>
    </cfRule>
  </conditionalFormatting>
  <conditionalFormatting sqref="J120">
    <cfRule type="iconSet" priority="16">
      <iconSet showValue="0">
        <cfvo type="percent" val="0"/>
        <cfvo type="num" val="2"/>
        <cfvo type="num" val="3"/>
      </iconSet>
    </cfRule>
  </conditionalFormatting>
  <conditionalFormatting sqref="J122">
    <cfRule type="iconSet" priority="15">
      <iconSet showValue="0">
        <cfvo type="percent" val="0"/>
        <cfvo type="num" val="2"/>
        <cfvo type="num" val="3"/>
      </iconSet>
    </cfRule>
  </conditionalFormatting>
  <conditionalFormatting sqref="J98">
    <cfRule type="iconSet" priority="14">
      <iconSet showValue="0">
        <cfvo type="percent" val="0"/>
        <cfvo type="num" val="2"/>
        <cfvo type="num" val="3"/>
      </iconSet>
    </cfRule>
  </conditionalFormatting>
  <conditionalFormatting sqref="J101">
    <cfRule type="iconSet" priority="13">
      <iconSet showValue="0">
        <cfvo type="percent" val="0"/>
        <cfvo type="num" val="2"/>
        <cfvo type="num" val="3"/>
      </iconSet>
    </cfRule>
  </conditionalFormatting>
  <conditionalFormatting sqref="J268:J269 J271">
    <cfRule type="iconSet" priority="775">
      <iconSet showValue="0">
        <cfvo type="percent" val="0"/>
        <cfvo type="num" val="2"/>
        <cfvo type="num" val="3"/>
      </iconSet>
    </cfRule>
  </conditionalFormatting>
  <conditionalFormatting sqref="J270">
    <cfRule type="iconSet" priority="10">
      <iconSet showValue="0">
        <cfvo type="percent" val="0"/>
        <cfvo type="num" val="2"/>
        <cfvo type="num" val="3"/>
      </iconSet>
    </cfRule>
  </conditionalFormatting>
  <conditionalFormatting sqref="J351">
    <cfRule type="iconSet" priority="8">
      <iconSet showValue="0">
        <cfvo type="percent" val="0"/>
        <cfvo type="num" val="2"/>
        <cfvo type="num" val="3"/>
      </iconSet>
    </cfRule>
  </conditionalFormatting>
  <conditionalFormatting sqref="J351">
    <cfRule type="iconSet" priority="9">
      <iconSet showValue="0">
        <cfvo type="percent" val="0"/>
        <cfvo type="num" val="2"/>
        <cfvo type="num" val="3"/>
      </iconSet>
    </cfRule>
  </conditionalFormatting>
  <conditionalFormatting sqref="J368">
    <cfRule type="iconSet" priority="6">
      <iconSet showValue="0">
        <cfvo type="percent" val="0"/>
        <cfvo type="num" val="2"/>
        <cfvo type="num" val="3"/>
      </iconSet>
    </cfRule>
  </conditionalFormatting>
  <conditionalFormatting sqref="J368">
    <cfRule type="iconSet" priority="7">
      <iconSet showValue="0">
        <cfvo type="percent" val="0"/>
        <cfvo type="num" val="2"/>
        <cfvo type="num" val="3"/>
      </iconSet>
    </cfRule>
  </conditionalFormatting>
  <conditionalFormatting sqref="J84">
    <cfRule type="iconSet" priority="5">
      <iconSet showValue="0">
        <cfvo type="percent" val="0"/>
        <cfvo type="num" val="2"/>
        <cfvo type="num" val="3"/>
      </iconSet>
    </cfRule>
  </conditionalFormatting>
  <conditionalFormatting sqref="J86">
    <cfRule type="iconSet" priority="813">
      <iconSet showValue="0">
        <cfvo type="percent" val="0"/>
        <cfvo type="num" val="2"/>
        <cfvo type="num" val="3"/>
      </iconSet>
    </cfRule>
  </conditionalFormatting>
  <conditionalFormatting sqref="J88">
    <cfRule type="iconSet" priority="3">
      <iconSet showValue="0">
        <cfvo type="percent" val="0"/>
        <cfvo type="num" val="2"/>
        <cfvo type="num" val="3"/>
      </iconSet>
    </cfRule>
  </conditionalFormatting>
  <conditionalFormatting sqref="J87">
    <cfRule type="iconSet" priority="2">
      <iconSet showValue="0">
        <cfvo type="percent" val="0"/>
        <cfvo type="num" val="2"/>
        <cfvo type="num" val="3"/>
      </iconSet>
    </cfRule>
  </conditionalFormatting>
  <conditionalFormatting sqref="J89">
    <cfRule type="iconSet" priority="4">
      <iconSet showValue="0">
        <cfvo type="percent" val="0"/>
        <cfvo type="num" val="2"/>
        <cfvo type="num" val="3"/>
      </iconSet>
    </cfRule>
  </conditionalFormatting>
  <conditionalFormatting sqref="J90">
    <cfRule type="iconSet" priority="1">
      <iconSet showValue="0">
        <cfvo type="percent" val="0"/>
        <cfvo type="num" val="2"/>
        <cfvo type="num" val="3"/>
      </iconSet>
    </cfRule>
  </conditionalFormatting>
  <conditionalFormatting sqref="J139:J145">
    <cfRule type="iconSet" priority="829">
      <iconSet showValue="0">
        <cfvo type="percent" val="0"/>
        <cfvo type="num" val="2"/>
        <cfvo type="num" val="3"/>
      </iconSet>
    </cfRule>
  </conditionalFormatting>
  <pageMargins left="0.7" right="0.7" top="0.75" bottom="0.75" header="0.3" footer="0.3"/>
  <ignoredErrors>
    <ignoredError sqref="L165 O162:P162 F303:G303 L162 L169 O169 L241:L242 L151 L246 L271 L202 L224 L82" twoDigitTextYear="1"/>
    <ignoredError sqref="G309:G310" numberStoredAsText="1"/>
    <ignoredError sqref="H209" formula="1"/>
  </ignoredErrors>
  <tableParts count="43">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8</vt:i4>
      </vt:variant>
    </vt:vector>
  </HeadingPairs>
  <TitlesOfParts>
    <vt:vector size="8" baseType="lpstr">
      <vt:lpstr>VOORBLAD - Methode &amp; Conclusies</vt:lpstr>
      <vt:lpstr>SAMENVATTING</vt:lpstr>
      <vt:lpstr>SCENARIO 1 - Gemiddeld</vt:lpstr>
      <vt:lpstr>SCENARIO 2 - Beste geval</vt:lpstr>
      <vt:lpstr>SCENARIO 3 - Slechtste geval</vt:lpstr>
      <vt:lpstr>SCENARIO 4 - Vrij invulbaar</vt:lpstr>
      <vt:lpstr>MARKTOMVANG</vt:lpstr>
      <vt:lpstr>DATA - Variabelen &amp; waarden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Job van de Crommert</dc:creator>
  <cp:keywords/>
  <dc:description/>
  <cp:lastModifiedBy>Gerben Bijvank</cp:lastModifiedBy>
  <cp:revision/>
  <dcterms:created xsi:type="dcterms:W3CDTF">2021-03-19T05:49:49Z</dcterms:created>
  <dcterms:modified xsi:type="dcterms:W3CDTF">2021-09-27T16:07:14Z</dcterms:modified>
  <cp:category/>
  <cp:contentStatus/>
</cp:coreProperties>
</file>